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DieseArbeitsmappe"/>
  <mc:AlternateContent xmlns:mc="http://schemas.openxmlformats.org/markup-compatibility/2006">
    <mc:Choice Requires="x15">
      <x15ac:absPath xmlns:x15ac="http://schemas.microsoft.com/office/spreadsheetml/2010/11/ac" url="Y:\Jahresbericht-Homepage\Homepage\"/>
    </mc:Choice>
  </mc:AlternateContent>
  <xr:revisionPtr revIDLastSave="0" documentId="13_ncr:1_{FA40AD85-116C-4851-8364-66406895F892}" xr6:coauthVersionLast="37" xr6:coauthVersionMax="37" xr10:uidLastSave="{00000000-0000-0000-0000-000000000000}"/>
  <bookViews>
    <workbookView xWindow="0" yWindow="0" windowWidth="28800" windowHeight="12225" activeTab="6" xr2:uid="{00000000-000D-0000-FFFF-FFFF00000000}"/>
  </bookViews>
  <sheets>
    <sheet name="Hinweise" sheetId="2" r:id="rId1"/>
    <sheet name="FOBOSO §35" sheetId="3" r:id="rId2"/>
    <sheet name="FOBOSO Anlagen" sheetId="7" r:id="rId3"/>
    <sheet name="FOS 12" sheetId="6" r:id="rId4"/>
    <sheet name="FOS 13-Normalfall" sheetId="19" r:id="rId5"/>
    <sheet name="FOS 13-Franz. fortgeführt" sheetId="22" r:id="rId6"/>
    <sheet name="FOS 13-Ergänzungspr. 2.Fremdsp." sheetId="24" r:id="rId7"/>
  </sheets>
  <definedNames>
    <definedName name="_xlnm.Print_Area" localSheetId="3">'FOS 12'!$C$2:$O$45</definedName>
    <definedName name="_xlnm.Print_Area" localSheetId="6">'FOS 13-Ergänzungspr. 2.Fremdsp.'!$C$2:$O$47</definedName>
    <definedName name="_xlnm.Print_Area" localSheetId="5">'FOS 13-Franz. fortgeführt'!$C$2:$O$47</definedName>
    <definedName name="_xlnm.Print_Area" localSheetId="4">'FOS 13-Normalfall'!$C$2:$O$45</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6" l="1"/>
  <c r="N29" i="24" l="1"/>
  <c r="C46" i="24" l="1"/>
  <c r="C46" i="22"/>
  <c r="C44" i="19"/>
  <c r="AF14" i="24"/>
  <c r="AF10" i="24"/>
  <c r="AF9" i="24"/>
  <c r="AF8" i="24"/>
  <c r="AF14" i="22"/>
  <c r="AF10" i="22"/>
  <c r="AF5" i="22" s="1"/>
  <c r="M27" i="22" s="1"/>
  <c r="AF9" i="22"/>
  <c r="AF8" i="22"/>
  <c r="AF14" i="19"/>
  <c r="AF10" i="19"/>
  <c r="AF9" i="19"/>
  <c r="AF8" i="19"/>
  <c r="AF5" i="24" l="1"/>
  <c r="M27" i="24" s="1"/>
  <c r="AF5" i="19"/>
  <c r="M27" i="19" s="1"/>
  <c r="AF9" i="6"/>
  <c r="AF10" i="6"/>
  <c r="AF14" i="6"/>
  <c r="AF8" i="6"/>
  <c r="AF5" i="6" l="1"/>
  <c r="M27" i="6" s="1"/>
  <c r="AL5" i="24"/>
  <c r="AI4" i="24"/>
  <c r="AI2" i="22"/>
  <c r="AI3" i="22"/>
  <c r="AI4" i="22"/>
  <c r="D34" i="22" l="1"/>
  <c r="AJ4" i="22" s="1"/>
  <c r="AI2" i="24" l="1"/>
  <c r="AI3" i="24"/>
  <c r="AI1" i="24"/>
  <c r="AI1" i="22" l="1"/>
  <c r="AI3" i="19"/>
  <c r="AI4" i="19"/>
  <c r="AI2" i="19"/>
  <c r="O29" i="24" l="1"/>
  <c r="D29" i="24" s="1"/>
  <c r="D33" i="24"/>
  <c r="AJ3" i="24" s="1"/>
  <c r="X29" i="24"/>
  <c r="T25" i="24"/>
  <c r="O25" i="24"/>
  <c r="Q25" i="24" s="1"/>
  <c r="AE25" i="24" s="1"/>
  <c r="AE24" i="24"/>
  <c r="T23" i="24"/>
  <c r="R23" i="24"/>
  <c r="A23" i="24"/>
  <c r="Z23" i="24" s="1"/>
  <c r="Z22" i="24"/>
  <c r="T22" i="24"/>
  <c r="R22" i="24"/>
  <c r="A22" i="24"/>
  <c r="X22" i="24" s="1"/>
  <c r="AE21" i="24"/>
  <c r="A21" i="24"/>
  <c r="T20" i="24"/>
  <c r="R20" i="24"/>
  <c r="C20" i="24"/>
  <c r="A20" i="24" s="1"/>
  <c r="AE19" i="24"/>
  <c r="AE18" i="24"/>
  <c r="AE17" i="24"/>
  <c r="AE16" i="24"/>
  <c r="T15" i="24"/>
  <c r="R15" i="24"/>
  <c r="C15" i="24"/>
  <c r="A15" i="24" s="1"/>
  <c r="Z15" i="24" s="1"/>
  <c r="T14" i="24"/>
  <c r="R14" i="24"/>
  <c r="N14" i="24"/>
  <c r="C14" i="24"/>
  <c r="A14" i="24"/>
  <c r="Z14" i="24" s="1"/>
  <c r="AB12" i="24"/>
  <c r="Z12" i="24"/>
  <c r="X12" i="24"/>
  <c r="V12" i="24"/>
  <c r="T12" i="24"/>
  <c r="R12" i="24"/>
  <c r="AI10" i="24"/>
  <c r="AB10" i="24"/>
  <c r="Z10" i="24"/>
  <c r="X10" i="24"/>
  <c r="V10" i="24"/>
  <c r="T10" i="24"/>
  <c r="R10" i="24"/>
  <c r="N10" i="24"/>
  <c r="AI9" i="24"/>
  <c r="AB9" i="24"/>
  <c r="Z9" i="24"/>
  <c r="X9" i="24"/>
  <c r="V9" i="24"/>
  <c r="T9" i="24"/>
  <c r="R9" i="24"/>
  <c r="N9" i="24"/>
  <c r="AB8" i="24"/>
  <c r="Z8" i="24"/>
  <c r="X8" i="24"/>
  <c r="V8" i="24"/>
  <c r="T8" i="24"/>
  <c r="R8" i="24"/>
  <c r="N8" i="24"/>
  <c r="AB7" i="24"/>
  <c r="Z7" i="24"/>
  <c r="X7" i="24"/>
  <c r="V7" i="24"/>
  <c r="T7" i="24"/>
  <c r="R7" i="24"/>
  <c r="J3" i="24"/>
  <c r="AB22" i="24" l="1"/>
  <c r="AD9" i="24"/>
  <c r="AD10" i="24"/>
  <c r="S10" i="24" s="1"/>
  <c r="O10" i="24" s="1"/>
  <c r="Q10" i="24" s="1"/>
  <c r="AB14" i="24"/>
  <c r="U29" i="24"/>
  <c r="U36" i="24"/>
  <c r="U40" i="24"/>
  <c r="U44" i="24"/>
  <c r="U32" i="24"/>
  <c r="D31" i="24"/>
  <c r="U33" i="24"/>
  <c r="U37" i="24"/>
  <c r="N37" i="24" s="1"/>
  <c r="U41" i="24"/>
  <c r="U45" i="24"/>
  <c r="U43" i="24"/>
  <c r="U34" i="24"/>
  <c r="N34" i="24" s="1"/>
  <c r="U38" i="24"/>
  <c r="U42" i="24"/>
  <c r="U46" i="24"/>
  <c r="U35" i="24"/>
  <c r="N35" i="24" s="1"/>
  <c r="U39" i="24"/>
  <c r="U47" i="24"/>
  <c r="N33" i="24"/>
  <c r="N36" i="24"/>
  <c r="AD12" i="24"/>
  <c r="R5" i="24"/>
  <c r="S12" i="24"/>
  <c r="O12" i="24" s="1"/>
  <c r="Q12" i="24" s="1"/>
  <c r="AE12" i="24" s="1"/>
  <c r="V20" i="24"/>
  <c r="Z20" i="24"/>
  <c r="AB20" i="24"/>
  <c r="X20" i="24"/>
  <c r="X23" i="24"/>
  <c r="AB23" i="24"/>
  <c r="V23" i="24"/>
  <c r="Q23" i="24"/>
  <c r="AE23" i="24" s="1"/>
  <c r="X15" i="24"/>
  <c r="AB15" i="24"/>
  <c r="V15" i="24"/>
  <c r="S7" i="24"/>
  <c r="O7" i="24" s="1"/>
  <c r="Q7" i="24" s="1"/>
  <c r="AD8" i="24"/>
  <c r="S8" i="24" s="1"/>
  <c r="O8" i="24" s="1"/>
  <c r="Q8" i="24" s="1"/>
  <c r="S9" i="24"/>
  <c r="O9" i="24" s="1"/>
  <c r="Q9" i="24" s="1"/>
  <c r="X14" i="24"/>
  <c r="V22" i="24"/>
  <c r="V14" i="24"/>
  <c r="AD7" i="24"/>
  <c r="AB6" i="19"/>
  <c r="Z6" i="19"/>
  <c r="X6" i="19"/>
  <c r="V6" i="19"/>
  <c r="T29" i="22"/>
  <c r="R29" i="22"/>
  <c r="X29" i="22"/>
  <c r="V29" i="22"/>
  <c r="D33" i="22"/>
  <c r="AJ3" i="22" s="1"/>
  <c r="T25" i="22"/>
  <c r="O25" i="22"/>
  <c r="Q25" i="22" s="1"/>
  <c r="AE25" i="22" s="1"/>
  <c r="AE24" i="22"/>
  <c r="T23" i="22"/>
  <c r="R23" i="22"/>
  <c r="A23" i="22"/>
  <c r="V23" i="22" s="1"/>
  <c r="T22" i="22"/>
  <c r="R22" i="22"/>
  <c r="A22" i="22"/>
  <c r="V22" i="22" s="1"/>
  <c r="AE21" i="22"/>
  <c r="A21" i="22"/>
  <c r="T20" i="22"/>
  <c r="R20" i="22"/>
  <c r="C20" i="22"/>
  <c r="A20" i="22" s="1"/>
  <c r="AE19" i="22"/>
  <c r="AE18" i="22"/>
  <c r="AE17" i="22"/>
  <c r="AE16" i="22"/>
  <c r="T15" i="22"/>
  <c r="R15" i="22"/>
  <c r="C15" i="22"/>
  <c r="A15" i="22" s="1"/>
  <c r="T14" i="22"/>
  <c r="R14" i="22"/>
  <c r="N14" i="22"/>
  <c r="C14" i="22"/>
  <c r="A14" i="22" s="1"/>
  <c r="AB12" i="22"/>
  <c r="Z12" i="22"/>
  <c r="X12" i="22"/>
  <c r="V12" i="22"/>
  <c r="T12" i="22"/>
  <c r="R12" i="22"/>
  <c r="AI10" i="22"/>
  <c r="AB10" i="22"/>
  <c r="Z10" i="22"/>
  <c r="X10" i="22"/>
  <c r="V10" i="22"/>
  <c r="T10" i="22"/>
  <c r="R10" i="22"/>
  <c r="N10" i="22"/>
  <c r="AI9" i="22"/>
  <c r="AB9" i="22"/>
  <c r="Z9" i="22"/>
  <c r="X9" i="22"/>
  <c r="V9" i="22"/>
  <c r="T9" i="22"/>
  <c r="R9" i="22"/>
  <c r="N9" i="22"/>
  <c r="AB8" i="22"/>
  <c r="Z8" i="22"/>
  <c r="X8" i="22"/>
  <c r="V8" i="22"/>
  <c r="T8" i="22"/>
  <c r="R8" i="22"/>
  <c r="N8" i="22"/>
  <c r="AB7" i="22"/>
  <c r="Z7" i="22"/>
  <c r="X7" i="22"/>
  <c r="V7" i="22"/>
  <c r="T7" i="22"/>
  <c r="R7" i="22"/>
  <c r="J3" i="22"/>
  <c r="T29" i="24" l="1"/>
  <c r="V29" i="24"/>
  <c r="R29" i="24"/>
  <c r="D34" i="24"/>
  <c r="AJ4" i="24" s="1"/>
  <c r="D32" i="24"/>
  <c r="AJ2" i="24" s="1"/>
  <c r="U44" i="22"/>
  <c r="AD12" i="22"/>
  <c r="S33" i="24"/>
  <c r="L33" i="24" s="1"/>
  <c r="S41" i="24"/>
  <c r="S37" i="24"/>
  <c r="L37" i="24" s="1"/>
  <c r="S47" i="24"/>
  <c r="S46" i="24"/>
  <c r="AE7" i="24"/>
  <c r="S40" i="24"/>
  <c r="S38" i="24"/>
  <c r="S39" i="24"/>
  <c r="S35" i="24"/>
  <c r="L35" i="24" s="1"/>
  <c r="AD14" i="24"/>
  <c r="S14" i="24" s="1"/>
  <c r="O14" i="24" s="1"/>
  <c r="Q14" i="24" s="1"/>
  <c r="S43" i="24"/>
  <c r="S34" i="24"/>
  <c r="L34" i="24" s="1"/>
  <c r="S15" i="24"/>
  <c r="O15" i="24" s="1"/>
  <c r="Q15" i="24" s="1"/>
  <c r="AE15" i="24" s="1"/>
  <c r="AD15" i="24"/>
  <c r="U15" i="24" s="1"/>
  <c r="S22" i="24"/>
  <c r="O22" i="24" s="1"/>
  <c r="AD22" i="24"/>
  <c r="AJ1" i="24"/>
  <c r="U48" i="24"/>
  <c r="H31" i="24" s="1"/>
  <c r="AM1" i="24" s="1"/>
  <c r="N32" i="24"/>
  <c r="S36" i="24"/>
  <c r="L36" i="24" s="1"/>
  <c r="S32" i="24"/>
  <c r="S42" i="24"/>
  <c r="Q29" i="24"/>
  <c r="S44" i="24"/>
  <c r="S45" i="24"/>
  <c r="AD23" i="24"/>
  <c r="S23" i="24"/>
  <c r="O23" i="24" s="1"/>
  <c r="AD20" i="24"/>
  <c r="S20" i="24"/>
  <c r="O20" i="24" s="1"/>
  <c r="Q20" i="24" s="1"/>
  <c r="AE20" i="24" s="1"/>
  <c r="AD29" i="22"/>
  <c r="AD9" i="22"/>
  <c r="AD10" i="22"/>
  <c r="AD8" i="22"/>
  <c r="S8" i="22" s="1"/>
  <c r="O8" i="22" s="1"/>
  <c r="Q8" i="22" s="1"/>
  <c r="S29" i="22"/>
  <c r="O29" i="22" s="1"/>
  <c r="Q29" i="22" s="1"/>
  <c r="R5" i="22"/>
  <c r="AB20" i="22"/>
  <c r="V20" i="22"/>
  <c r="X23" i="22"/>
  <c r="S9" i="22"/>
  <c r="O9" i="22" s="1"/>
  <c r="Q9" i="22" s="1"/>
  <c r="S10" i="22"/>
  <c r="O10" i="22" s="1"/>
  <c r="Q10" i="22" s="1"/>
  <c r="X14" i="22"/>
  <c r="V14" i="22"/>
  <c r="Z14" i="22"/>
  <c r="AB14" i="22"/>
  <c r="V15" i="22"/>
  <c r="AB15" i="22"/>
  <c r="X15" i="22"/>
  <c r="Z15" i="22"/>
  <c r="U42" i="22"/>
  <c r="X20" i="22"/>
  <c r="Z22" i="22"/>
  <c r="Z23" i="22"/>
  <c r="U32" i="22"/>
  <c r="U35" i="22"/>
  <c r="N35" i="22" s="1"/>
  <c r="U36" i="22"/>
  <c r="N36" i="22" s="1"/>
  <c r="U37" i="22"/>
  <c r="N37" i="22" s="1"/>
  <c r="U39" i="22"/>
  <c r="U40" i="22"/>
  <c r="U41" i="22"/>
  <c r="U46" i="22"/>
  <c r="AD7" i="22"/>
  <c r="X22" i="22"/>
  <c r="U33" i="22"/>
  <c r="N33" i="22" s="1"/>
  <c r="U47" i="22"/>
  <c r="S7" i="22"/>
  <c r="O7" i="22" s="1"/>
  <c r="Q7" i="22" s="1"/>
  <c r="S12" i="22"/>
  <c r="O12" i="22" s="1"/>
  <c r="Q12" i="22" s="1"/>
  <c r="AE12" i="22" s="1"/>
  <c r="Z20" i="22"/>
  <c r="AB22" i="22"/>
  <c r="AB23" i="22"/>
  <c r="U34" i="22"/>
  <c r="N34" i="22" s="1"/>
  <c r="U45" i="22"/>
  <c r="D31" i="22"/>
  <c r="U43" i="22"/>
  <c r="Q23" i="22"/>
  <c r="AE23" i="22" s="1"/>
  <c r="U38" i="22"/>
  <c r="D31" i="19"/>
  <c r="D32" i="22" l="1"/>
  <c r="AJ2" i="22" s="1"/>
  <c r="AD29" i="24"/>
  <c r="S29" i="24"/>
  <c r="S35" i="22"/>
  <c r="L35" i="22" s="1"/>
  <c r="S39" i="22"/>
  <c r="S43" i="22"/>
  <c r="S47" i="22"/>
  <c r="S36" i="22"/>
  <c r="L36" i="22" s="1"/>
  <c r="S40" i="22"/>
  <c r="S44" i="22"/>
  <c r="S32" i="22"/>
  <c r="S33" i="22"/>
  <c r="L33" i="22" s="1"/>
  <c r="S37" i="22"/>
  <c r="S41" i="22"/>
  <c r="S45" i="22"/>
  <c r="S34" i="22"/>
  <c r="L34" i="22" s="1"/>
  <c r="S38" i="22"/>
  <c r="S42" i="22"/>
  <c r="S46" i="22"/>
  <c r="D35" i="24"/>
  <c r="N38" i="24"/>
  <c r="N39" i="24"/>
  <c r="AM9" i="24" s="1"/>
  <c r="AD25" i="24"/>
  <c r="S48" i="24"/>
  <c r="H32" i="24" s="1"/>
  <c r="L32" i="24"/>
  <c r="Q22" i="24"/>
  <c r="T46" i="24" s="1"/>
  <c r="U22" i="24"/>
  <c r="U29" i="22"/>
  <c r="S20" i="22"/>
  <c r="O20" i="22" s="1"/>
  <c r="Q20" i="22" s="1"/>
  <c r="AE20" i="22" s="1"/>
  <c r="AD23" i="22"/>
  <c r="S23" i="22"/>
  <c r="O23" i="22" s="1"/>
  <c r="S22" i="22"/>
  <c r="O22" i="22" s="1"/>
  <c r="AD22" i="22"/>
  <c r="D35" i="22"/>
  <c r="AJ5" i="22" s="1"/>
  <c r="AJ1" i="22"/>
  <c r="AD15" i="22"/>
  <c r="S15" i="22"/>
  <c r="O15" i="22" s="1"/>
  <c r="AD14" i="22"/>
  <c r="S14" i="22" s="1"/>
  <c r="O14" i="22" s="1"/>
  <c r="Q14" i="22" s="1"/>
  <c r="AE7" i="22"/>
  <c r="AD20" i="22"/>
  <c r="U48" i="22"/>
  <c r="H31" i="22" s="1"/>
  <c r="AM1" i="22" s="1"/>
  <c r="N32" i="22"/>
  <c r="L37" i="22"/>
  <c r="T25" i="19"/>
  <c r="O25" i="19"/>
  <c r="Q25" i="19" s="1"/>
  <c r="AE25" i="19" s="1"/>
  <c r="AE24" i="19"/>
  <c r="T23" i="19"/>
  <c r="R23" i="19"/>
  <c r="A23" i="19"/>
  <c r="Z23" i="19" s="1"/>
  <c r="T22" i="19"/>
  <c r="R22" i="19"/>
  <c r="A22" i="19"/>
  <c r="Z22" i="19" s="1"/>
  <c r="AE21" i="19"/>
  <c r="A21" i="19"/>
  <c r="T20" i="19"/>
  <c r="R20" i="19"/>
  <c r="C20" i="19"/>
  <c r="A20" i="19" s="1"/>
  <c r="AE19" i="19"/>
  <c r="AE18" i="19"/>
  <c r="AE17" i="19"/>
  <c r="AE16" i="19"/>
  <c r="T15" i="19"/>
  <c r="R15" i="19"/>
  <c r="C15" i="19"/>
  <c r="T14" i="19"/>
  <c r="R14" i="19"/>
  <c r="N14" i="19"/>
  <c r="C14" i="19"/>
  <c r="A14" i="19" s="1"/>
  <c r="X14" i="19" s="1"/>
  <c r="AB12" i="19"/>
  <c r="Z12" i="19"/>
  <c r="X12" i="19"/>
  <c r="V12" i="19"/>
  <c r="T12" i="19"/>
  <c r="R12" i="19"/>
  <c r="AI10" i="19"/>
  <c r="AB10" i="19"/>
  <c r="Z10" i="19"/>
  <c r="X10" i="19"/>
  <c r="V10" i="19"/>
  <c r="T10" i="19"/>
  <c r="R10" i="19"/>
  <c r="N10" i="19"/>
  <c r="AI9" i="19"/>
  <c r="AB9" i="19"/>
  <c r="Z9" i="19"/>
  <c r="X9" i="19"/>
  <c r="V9" i="19"/>
  <c r="T9" i="19"/>
  <c r="R9" i="19"/>
  <c r="N9" i="19"/>
  <c r="AB8" i="19"/>
  <c r="Z8" i="19"/>
  <c r="X8" i="19"/>
  <c r="V8" i="19"/>
  <c r="T8" i="19"/>
  <c r="R8" i="19"/>
  <c r="N8" i="19"/>
  <c r="AB7" i="19"/>
  <c r="Z7" i="19"/>
  <c r="X7" i="19"/>
  <c r="V7" i="19"/>
  <c r="T7" i="19"/>
  <c r="R7" i="19"/>
  <c r="AJ4" i="19"/>
  <c r="J3" i="19"/>
  <c r="C37" i="24" l="1"/>
  <c r="AI7" i="24" s="1"/>
  <c r="F36" i="24"/>
  <c r="AL6" i="24" s="1"/>
  <c r="AJ5" i="24"/>
  <c r="D40" i="24"/>
  <c r="AJ9" i="24" s="1"/>
  <c r="T34" i="24"/>
  <c r="M34" i="24" s="1"/>
  <c r="T38" i="24"/>
  <c r="AL6" i="22"/>
  <c r="Q15" i="22"/>
  <c r="AE15" i="22" s="1"/>
  <c r="AE5" i="22" s="1"/>
  <c r="D28" i="22" s="1"/>
  <c r="U15" i="22"/>
  <c r="Q22" i="22"/>
  <c r="AE22" i="22" s="1"/>
  <c r="U22" i="22"/>
  <c r="T42" i="24"/>
  <c r="T43" i="24"/>
  <c r="T39" i="24"/>
  <c r="T45" i="24"/>
  <c r="T41" i="24"/>
  <c r="T37" i="24"/>
  <c r="M37" i="24" s="1"/>
  <c r="L38" i="24"/>
  <c r="L39" i="24"/>
  <c r="AM2" i="24"/>
  <c r="AE22" i="24"/>
  <c r="AE5" i="24" s="1"/>
  <c r="D28" i="24" s="1"/>
  <c r="T40" i="24"/>
  <c r="T35" i="24"/>
  <c r="M35" i="24" s="1"/>
  <c r="T33" i="24"/>
  <c r="M33" i="24" s="1"/>
  <c r="T44" i="24"/>
  <c r="T32" i="24"/>
  <c r="T36" i="24"/>
  <c r="M36" i="24" s="1"/>
  <c r="T47" i="24"/>
  <c r="F36" i="22"/>
  <c r="AD25" i="22"/>
  <c r="T46" i="22"/>
  <c r="L32" i="22"/>
  <c r="S48" i="22"/>
  <c r="H32" i="22" s="1"/>
  <c r="N39" i="22"/>
  <c r="AM9" i="22" s="1"/>
  <c r="N38" i="22"/>
  <c r="A15" i="19"/>
  <c r="V15" i="19" s="1"/>
  <c r="X22" i="19"/>
  <c r="S12" i="19"/>
  <c r="O12" i="19" s="1"/>
  <c r="Q12" i="19" s="1"/>
  <c r="AE12" i="19" s="1"/>
  <c r="AD8" i="19"/>
  <c r="X20" i="19"/>
  <c r="AB20" i="19"/>
  <c r="S7" i="19"/>
  <c r="O7" i="19" s="1"/>
  <c r="Q7" i="19" s="1"/>
  <c r="AE7" i="19" s="1"/>
  <c r="AB22" i="19"/>
  <c r="X23" i="19"/>
  <c r="U42" i="19"/>
  <c r="R5" i="19"/>
  <c r="AD9" i="19"/>
  <c r="S9" i="19" s="1"/>
  <c r="O9" i="19" s="1"/>
  <c r="Q9" i="19" s="1"/>
  <c r="AD10" i="19"/>
  <c r="S10" i="19" s="1"/>
  <c r="O10" i="19" s="1"/>
  <c r="Q10" i="19" s="1"/>
  <c r="AD12" i="19"/>
  <c r="AB23" i="19"/>
  <c r="S8" i="19"/>
  <c r="O8" i="19" s="1"/>
  <c r="Q8" i="19" s="1"/>
  <c r="Z14" i="19"/>
  <c r="AD7" i="19"/>
  <c r="AB14" i="19"/>
  <c r="Z20" i="19"/>
  <c r="V22" i="19"/>
  <c r="Q23" i="19"/>
  <c r="AE23" i="19" s="1"/>
  <c r="V23" i="19"/>
  <c r="U40" i="19"/>
  <c r="U41" i="19"/>
  <c r="U45" i="19"/>
  <c r="V14" i="19"/>
  <c r="D29" i="19"/>
  <c r="U31" i="19"/>
  <c r="N31" i="19" s="1"/>
  <c r="U35" i="19"/>
  <c r="N35" i="19" s="1"/>
  <c r="U37" i="19"/>
  <c r="U38" i="19"/>
  <c r="U39" i="19"/>
  <c r="U44" i="19"/>
  <c r="V20" i="19"/>
  <c r="U30" i="19"/>
  <c r="U33" i="19"/>
  <c r="N33" i="19" s="1"/>
  <c r="U34" i="19"/>
  <c r="N34" i="19" s="1"/>
  <c r="U43" i="19"/>
  <c r="U32" i="19"/>
  <c r="N32" i="19" s="1"/>
  <c r="U36" i="19"/>
  <c r="T44" i="22" l="1"/>
  <c r="C37" i="22"/>
  <c r="AI7" i="22" s="1"/>
  <c r="T38" i="22"/>
  <c r="T35" i="22"/>
  <c r="M35" i="22" s="1"/>
  <c r="T41" i="22"/>
  <c r="T45" i="22"/>
  <c r="T36" i="22"/>
  <c r="M36" i="22" s="1"/>
  <c r="T33" i="22"/>
  <c r="M33" i="22" s="1"/>
  <c r="T34" i="22"/>
  <c r="M34" i="22" s="1"/>
  <c r="T42" i="22"/>
  <c r="T39" i="22"/>
  <c r="T32" i="22"/>
  <c r="M32" i="22" s="1"/>
  <c r="M39" i="22" s="1"/>
  <c r="AM10" i="22" s="1"/>
  <c r="T40" i="22"/>
  <c r="T47" i="22"/>
  <c r="T43" i="22"/>
  <c r="T37" i="22"/>
  <c r="M37" i="22" s="1"/>
  <c r="T48" i="24"/>
  <c r="M32" i="24"/>
  <c r="Z15" i="19"/>
  <c r="AB15" i="19"/>
  <c r="D40" i="22"/>
  <c r="AJ9" i="22" s="1"/>
  <c r="L39" i="22"/>
  <c r="L38" i="22"/>
  <c r="M38" i="22"/>
  <c r="AM2" i="22"/>
  <c r="X15" i="19"/>
  <c r="AD20" i="19"/>
  <c r="S20" i="19"/>
  <c r="O20" i="19" s="1"/>
  <c r="Q20" i="19" s="1"/>
  <c r="AE20" i="19" s="1"/>
  <c r="AD14" i="19"/>
  <c r="S14" i="19" s="1"/>
  <c r="O14" i="19" s="1"/>
  <c r="Q14" i="19" s="1"/>
  <c r="S23" i="19"/>
  <c r="O23" i="19" s="1"/>
  <c r="AD23" i="19"/>
  <c r="S22" i="19"/>
  <c r="O22" i="19" s="1"/>
  <c r="AD22" i="19"/>
  <c r="S37" i="19"/>
  <c r="U46" i="19"/>
  <c r="H29" i="19" s="1"/>
  <c r="AM2" i="19" s="1"/>
  <c r="N30" i="19"/>
  <c r="AJ2" i="19"/>
  <c r="S43" i="19" l="1"/>
  <c r="S36" i="19"/>
  <c r="S45" i="19"/>
  <c r="S30" i="19"/>
  <c r="L30" i="19" s="1"/>
  <c r="S34" i="19"/>
  <c r="L34" i="19" s="1"/>
  <c r="S15" i="19"/>
  <c r="O15" i="19" s="1"/>
  <c r="S40" i="19"/>
  <c r="S35" i="19"/>
  <c r="L35" i="19" s="1"/>
  <c r="S32" i="19"/>
  <c r="L32" i="19" s="1"/>
  <c r="S31" i="19"/>
  <c r="L31" i="19" s="1"/>
  <c r="D30" i="19"/>
  <c r="D33" i="19" s="1"/>
  <c r="S33" i="19"/>
  <c r="L33" i="19" s="1"/>
  <c r="S42" i="19"/>
  <c r="S38" i="19"/>
  <c r="S44" i="19"/>
  <c r="S39" i="19"/>
  <c r="AD15" i="19"/>
  <c r="AD25" i="19" s="1"/>
  <c r="S41" i="19"/>
  <c r="T48" i="22"/>
  <c r="D41" i="22"/>
  <c r="AJ10" i="22" s="1"/>
  <c r="M38" i="24"/>
  <c r="M39" i="24"/>
  <c r="Q22" i="19"/>
  <c r="AE22" i="19" s="1"/>
  <c r="U22" i="19"/>
  <c r="U15" i="19"/>
  <c r="Q15" i="19"/>
  <c r="AE15" i="19" s="1"/>
  <c r="N37" i="19"/>
  <c r="D38" i="19" s="1"/>
  <c r="N36" i="19"/>
  <c r="AI11" i="6"/>
  <c r="AI10" i="6"/>
  <c r="AI7" i="6"/>
  <c r="AI8" i="6"/>
  <c r="AI6" i="6"/>
  <c r="AK3" i="6"/>
  <c r="AK2" i="6"/>
  <c r="AI3" i="6"/>
  <c r="AI4" i="6"/>
  <c r="AI5" i="6"/>
  <c r="AI2" i="6"/>
  <c r="T36" i="19" l="1"/>
  <c r="AE5" i="19"/>
  <c r="D28" i="19" s="1"/>
  <c r="L36" i="19"/>
  <c r="T37" i="19"/>
  <c r="T40" i="19"/>
  <c r="S46" i="19"/>
  <c r="H30" i="19" s="1"/>
  <c r="AM3" i="19" s="1"/>
  <c r="L37" i="19"/>
  <c r="T38" i="19"/>
  <c r="T33" i="19"/>
  <c r="M33" i="19" s="1"/>
  <c r="T42" i="19"/>
  <c r="T41" i="19"/>
  <c r="T35" i="19"/>
  <c r="M35" i="19" s="1"/>
  <c r="T32" i="19"/>
  <c r="M32" i="19" s="1"/>
  <c r="T30" i="19"/>
  <c r="M30" i="19" s="1"/>
  <c r="T39" i="19"/>
  <c r="T34" i="19"/>
  <c r="M34" i="19" s="1"/>
  <c r="T44" i="19"/>
  <c r="T45" i="19"/>
  <c r="T31" i="19"/>
  <c r="M31" i="19" s="1"/>
  <c r="T43" i="19"/>
  <c r="E43" i="22"/>
  <c r="D37" i="22" s="1"/>
  <c r="AJ3" i="19"/>
  <c r="AJ5" i="19" s="1"/>
  <c r="AL6" i="19" s="1"/>
  <c r="F34" i="19"/>
  <c r="AM10" i="24"/>
  <c r="D41" i="24"/>
  <c r="C35" i="19"/>
  <c r="AI7" i="19" s="1"/>
  <c r="AM9" i="19"/>
  <c r="AJ7" i="22" l="1"/>
  <c r="T46" i="19"/>
  <c r="AJ10" i="24"/>
  <c r="E43" i="24"/>
  <c r="D37" i="24" s="1"/>
  <c r="AJ9" i="19"/>
  <c r="M36" i="19"/>
  <c r="M37" i="19"/>
  <c r="D39" i="19" s="1"/>
  <c r="T16" i="6"/>
  <c r="T17" i="6"/>
  <c r="T18" i="6"/>
  <c r="T19" i="6"/>
  <c r="T20" i="6"/>
  <c r="T21" i="6"/>
  <c r="T22" i="6"/>
  <c r="T23" i="6"/>
  <c r="T24" i="6"/>
  <c r="T15" i="6"/>
  <c r="T13" i="6"/>
  <c r="T12" i="6"/>
  <c r="T11" i="6"/>
  <c r="T7" i="6"/>
  <c r="D36" i="22" l="1"/>
  <c r="AJ6" i="22" s="1"/>
  <c r="D36" i="24"/>
  <c r="AJ6" i="24" s="1"/>
  <c r="AJ7" i="24"/>
  <c r="AM10" i="19"/>
  <c r="AJ10" i="19" l="1"/>
  <c r="E41" i="19"/>
  <c r="D35" i="19" s="1"/>
  <c r="A24" i="6"/>
  <c r="A23" i="6"/>
  <c r="A22" i="6"/>
  <c r="D34" i="19" l="1"/>
  <c r="AJ6" i="19" s="1"/>
  <c r="AJ7" i="19"/>
  <c r="O25" i="6" l="1"/>
  <c r="D32" i="6" l="1"/>
  <c r="AJ5" i="6" s="1"/>
  <c r="D31" i="6"/>
  <c r="AJ4" i="6" s="1"/>
  <c r="T26" i="6"/>
  <c r="S26" i="6"/>
  <c r="O26" i="6" s="1"/>
  <c r="Q26" i="6" s="1"/>
  <c r="AE26" i="6" s="1"/>
  <c r="T25" i="6"/>
  <c r="Q25" i="6"/>
  <c r="AE25" i="6" s="1"/>
  <c r="R24" i="6"/>
  <c r="V24" i="6"/>
  <c r="R23" i="6"/>
  <c r="AB23" i="6"/>
  <c r="R22" i="6"/>
  <c r="Z22" i="6"/>
  <c r="R21" i="6"/>
  <c r="C21" i="6"/>
  <c r="A21" i="6" s="1"/>
  <c r="R20" i="6"/>
  <c r="C20" i="6"/>
  <c r="A20" i="6" s="1"/>
  <c r="R19" i="6"/>
  <c r="R18" i="6"/>
  <c r="R17" i="6"/>
  <c r="C17" i="6"/>
  <c r="A17" i="6" s="1"/>
  <c r="R16" i="6"/>
  <c r="R15" i="6"/>
  <c r="C15" i="6"/>
  <c r="A15" i="6" s="1"/>
  <c r="T14" i="6"/>
  <c r="R14" i="6"/>
  <c r="N14" i="6"/>
  <c r="C14" i="6"/>
  <c r="A14" i="6" s="1"/>
  <c r="Z14" i="6" s="1"/>
  <c r="AB13" i="6"/>
  <c r="Z13" i="6"/>
  <c r="X13" i="6"/>
  <c r="V13" i="6"/>
  <c r="R13" i="6"/>
  <c r="Q13" i="6"/>
  <c r="AE13" i="6" s="1"/>
  <c r="AB12" i="6"/>
  <c r="Z12" i="6"/>
  <c r="X12" i="6"/>
  <c r="V12" i="6"/>
  <c r="R12" i="6"/>
  <c r="AB11" i="6"/>
  <c r="Z11" i="6"/>
  <c r="X11" i="6"/>
  <c r="V11" i="6"/>
  <c r="R11" i="6"/>
  <c r="AB10" i="6"/>
  <c r="Z10" i="6"/>
  <c r="X10" i="6"/>
  <c r="V10" i="6"/>
  <c r="T10" i="6"/>
  <c r="R10" i="6"/>
  <c r="N10" i="6"/>
  <c r="AB9" i="6"/>
  <c r="Z9" i="6"/>
  <c r="X9" i="6"/>
  <c r="V9" i="6"/>
  <c r="T9" i="6"/>
  <c r="R9" i="6"/>
  <c r="N9" i="6"/>
  <c r="AB8" i="6"/>
  <c r="Z8" i="6"/>
  <c r="X8" i="6"/>
  <c r="V8" i="6"/>
  <c r="T8" i="6"/>
  <c r="R8" i="6"/>
  <c r="N8" i="6"/>
  <c r="AB7" i="6"/>
  <c r="Z7" i="6"/>
  <c r="X7" i="6"/>
  <c r="V7" i="6"/>
  <c r="R7" i="6"/>
  <c r="J3" i="6"/>
  <c r="U40" i="6" l="1"/>
  <c r="AD9" i="6"/>
  <c r="S9" i="6" s="1"/>
  <c r="S11" i="6"/>
  <c r="O11" i="6" s="1"/>
  <c r="Q11" i="6" s="1"/>
  <c r="AE11" i="6" s="1"/>
  <c r="S12" i="6"/>
  <c r="O12" i="6" s="1"/>
  <c r="Q12" i="6" s="1"/>
  <c r="AE12" i="6" s="1"/>
  <c r="S13" i="6"/>
  <c r="O13" i="6" s="1"/>
  <c r="S7" i="6"/>
  <c r="O7" i="6" s="1"/>
  <c r="Q7" i="6" s="1"/>
  <c r="X24" i="6"/>
  <c r="V22" i="6"/>
  <c r="AB22" i="6"/>
  <c r="X23" i="6"/>
  <c r="V23" i="6"/>
  <c r="AD10" i="6"/>
  <c r="S10" i="6" s="1"/>
  <c r="U39" i="6"/>
  <c r="U38" i="6"/>
  <c r="U33" i="6"/>
  <c r="N33" i="6" s="1"/>
  <c r="D29" i="6"/>
  <c r="AJ2" i="6" s="1"/>
  <c r="U37" i="6"/>
  <c r="U42" i="6"/>
  <c r="U35" i="6"/>
  <c r="N35" i="6" s="1"/>
  <c r="R5" i="6"/>
  <c r="AD12" i="6"/>
  <c r="X14" i="6"/>
  <c r="AB14" i="6"/>
  <c r="V14" i="6"/>
  <c r="X17" i="6"/>
  <c r="AB17" i="6"/>
  <c r="V17" i="6"/>
  <c r="Z17" i="6"/>
  <c r="X21" i="6"/>
  <c r="AB21" i="6"/>
  <c r="V21" i="6"/>
  <c r="Z21" i="6"/>
  <c r="X15" i="6"/>
  <c r="AB15" i="6"/>
  <c r="V15" i="6"/>
  <c r="Z15" i="6"/>
  <c r="AD8" i="6"/>
  <c r="X20" i="6"/>
  <c r="AB20" i="6"/>
  <c r="V20" i="6"/>
  <c r="Z20" i="6"/>
  <c r="U45" i="6"/>
  <c r="U41" i="6"/>
  <c r="U30" i="6"/>
  <c r="U34" i="6"/>
  <c r="N34" i="6" s="1"/>
  <c r="U44" i="6"/>
  <c r="AD7" i="6"/>
  <c r="X22" i="6"/>
  <c r="Z23" i="6"/>
  <c r="AB24" i="6"/>
  <c r="U32" i="6"/>
  <c r="N32" i="6" s="1"/>
  <c r="U36" i="6"/>
  <c r="U43" i="6"/>
  <c r="AD11" i="6"/>
  <c r="AD13" i="6"/>
  <c r="Z24" i="6"/>
  <c r="U31" i="6"/>
  <c r="N31" i="6" s="1"/>
  <c r="AE7" i="6" l="1"/>
  <c r="S24" i="6"/>
  <c r="O24" i="6" s="1"/>
  <c r="Q24" i="6" s="1"/>
  <c r="AE24" i="6" s="1"/>
  <c r="S23" i="6"/>
  <c r="O23" i="6" s="1"/>
  <c r="Q23" i="6" s="1"/>
  <c r="AE23" i="6" s="1"/>
  <c r="S8" i="6"/>
  <c r="O8" i="6" s="1"/>
  <c r="Q8" i="6" s="1"/>
  <c r="S22" i="6"/>
  <c r="O22" i="6" s="1"/>
  <c r="Q22" i="6" s="1"/>
  <c r="AE22" i="6" s="1"/>
  <c r="S20" i="6"/>
  <c r="O20" i="6" s="1"/>
  <c r="Q20" i="6" s="1"/>
  <c r="AE20" i="6" s="1"/>
  <c r="S15" i="6"/>
  <c r="O15" i="6" s="1"/>
  <c r="Q15" i="6" s="1"/>
  <c r="AE15" i="6" s="1"/>
  <c r="S21" i="6"/>
  <c r="O21" i="6" s="1"/>
  <c r="Q21" i="6" s="1"/>
  <c r="AE21" i="6" s="1"/>
  <c r="S17" i="6"/>
  <c r="O17" i="6" s="1"/>
  <c r="Q17" i="6" s="1"/>
  <c r="AE17" i="6" s="1"/>
  <c r="O10" i="6"/>
  <c r="Q10" i="6" s="1"/>
  <c r="O9" i="6"/>
  <c r="Q9" i="6" s="1"/>
  <c r="AD22" i="6"/>
  <c r="AD24" i="6"/>
  <c r="AD23" i="6"/>
  <c r="AD20" i="6"/>
  <c r="AD21" i="6"/>
  <c r="AD15" i="6"/>
  <c r="U46" i="6"/>
  <c r="H29" i="6" s="1"/>
  <c r="AL2" i="6" s="1"/>
  <c r="N30" i="6"/>
  <c r="AD17" i="6"/>
  <c r="AD14" i="6"/>
  <c r="S14" i="6" s="1"/>
  <c r="O14" i="6" l="1"/>
  <c r="Q14" i="6" s="1"/>
  <c r="N36" i="6"/>
  <c r="N37" i="6"/>
  <c r="D38" i="6" l="1"/>
  <c r="G38" i="6" s="1"/>
  <c r="AL10" i="6"/>
  <c r="O10" i="2" l="1"/>
  <c r="O9" i="2"/>
  <c r="P10" i="2"/>
  <c r="P9" i="2"/>
  <c r="P5" i="2"/>
  <c r="P4" i="2"/>
  <c r="N10" i="2"/>
  <c r="J9" i="2"/>
  <c r="K8" i="2"/>
  <c r="N5" i="2"/>
  <c r="N6" i="2"/>
  <c r="C19" i="6" s="1"/>
  <c r="A19" i="6" s="1"/>
  <c r="N7" i="2"/>
  <c r="N8" i="2"/>
  <c r="N4" i="2"/>
  <c r="K6" i="2"/>
  <c r="C16" i="6" s="1"/>
  <c r="A16" i="6" s="1"/>
  <c r="K7" i="2"/>
  <c r="V16" i="6" l="1"/>
  <c r="Z16" i="6"/>
  <c r="X16" i="6"/>
  <c r="AB16" i="6"/>
  <c r="V19" i="6"/>
  <c r="Z19" i="6"/>
  <c r="X19" i="6"/>
  <c r="AB19" i="6"/>
  <c r="M8" i="2"/>
  <c r="M7" i="2"/>
  <c r="M6" i="2"/>
  <c r="C18" i="6" s="1"/>
  <c r="A18" i="6" s="1"/>
  <c r="L10" i="2"/>
  <c r="L9" i="2"/>
  <c r="L5" i="2"/>
  <c r="L4" i="2"/>
  <c r="K5" i="2"/>
  <c r="K4" i="2"/>
  <c r="V18" i="6" l="1"/>
  <c r="Z18" i="6"/>
  <c r="AB18" i="6"/>
  <c r="X18" i="6"/>
  <c r="S19" i="6"/>
  <c r="O19" i="6" s="1"/>
  <c r="Q19" i="6" s="1"/>
  <c r="AD19" i="6"/>
  <c r="AD16" i="6"/>
  <c r="S16" i="6"/>
  <c r="O16" i="6" s="1"/>
  <c r="Q16" i="6" s="1"/>
  <c r="S40" i="6" l="1"/>
  <c r="AE19" i="6"/>
  <c r="S34" i="6"/>
  <c r="L34" i="6" s="1"/>
  <c r="S31" i="6"/>
  <c r="L31" i="6" s="1"/>
  <c r="S39" i="6"/>
  <c r="S37" i="6"/>
  <c r="S45" i="6"/>
  <c r="S42" i="6"/>
  <c r="AE16" i="6"/>
  <c r="S33" i="6"/>
  <c r="L33" i="6" s="1"/>
  <c r="S38" i="6"/>
  <c r="S30" i="6"/>
  <c r="S18" i="6"/>
  <c r="O18" i="6" s="1"/>
  <c r="Q18" i="6" s="1"/>
  <c r="AE18" i="6" s="1"/>
  <c r="AD18" i="6"/>
  <c r="AD25" i="6" s="1"/>
  <c r="S32" i="6"/>
  <c r="L32" i="6" s="1"/>
  <c r="D30" i="6"/>
  <c r="AJ3" i="6" s="1"/>
  <c r="S41" i="6"/>
  <c r="S35" i="6"/>
  <c r="L35" i="6" s="1"/>
  <c r="S43" i="6"/>
  <c r="S44" i="6"/>
  <c r="S36" i="6"/>
  <c r="T40" i="6" l="1"/>
  <c r="D33" i="6"/>
  <c r="AJ6" i="6" s="1"/>
  <c r="T38" i="6"/>
  <c r="T39" i="6"/>
  <c r="T42" i="6"/>
  <c r="T43" i="6"/>
  <c r="T36" i="6"/>
  <c r="T41" i="6"/>
  <c r="T44" i="6"/>
  <c r="AE5" i="6"/>
  <c r="D28" i="6" s="1"/>
  <c r="L30" i="6"/>
  <c r="S46" i="6"/>
  <c r="H30" i="6" s="1"/>
  <c r="T35" i="6"/>
  <c r="M35" i="6" s="1"/>
  <c r="T32" i="6"/>
  <c r="M32" i="6" s="1"/>
  <c r="T31" i="6"/>
  <c r="M31" i="6" s="1"/>
  <c r="T45" i="6"/>
  <c r="T33" i="6"/>
  <c r="M33" i="6" s="1"/>
  <c r="T34" i="6"/>
  <c r="M34" i="6" s="1"/>
  <c r="T30" i="6"/>
  <c r="T37" i="6"/>
  <c r="AL3" i="6" l="1"/>
  <c r="F34" i="6"/>
  <c r="AK7" i="6" s="1"/>
  <c r="L36" i="6"/>
  <c r="L37" i="6"/>
  <c r="T46" i="6"/>
  <c r="M30" i="6"/>
  <c r="M36" i="6" l="1"/>
  <c r="M37" i="6"/>
  <c r="AL11" i="6" l="1"/>
  <c r="D39" i="6"/>
  <c r="G39" i="6" s="1"/>
  <c r="D35" i="6" s="1"/>
  <c r="AJ10" i="6"/>
  <c r="AJ11" i="6" l="1"/>
  <c r="E41" i="6"/>
  <c r="D34" i="6" l="1"/>
  <c r="AJ7" i="6" s="1"/>
  <c r="AJ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Benutzer</author>
  </authors>
  <commentList>
    <comment ref="L6" authorId="0" shapeId="0" xr:uid="{00000000-0006-0000-0300-000001000000}">
      <text>
        <r>
          <rPr>
            <b/>
            <sz val="9"/>
            <color indexed="81"/>
            <rFont val="Segoe UI"/>
            <family val="2"/>
          </rPr>
          <t>Schriftliche
Prüfung</t>
        </r>
        <r>
          <rPr>
            <sz val="9"/>
            <color indexed="81"/>
            <rFont val="Segoe UI"/>
            <family val="2"/>
          </rPr>
          <t xml:space="preserve">
</t>
        </r>
      </text>
    </comment>
    <comment ref="M6" authorId="0" shapeId="0" xr:uid="{00000000-0006-0000-0300-000002000000}">
      <text>
        <r>
          <rPr>
            <b/>
            <sz val="9"/>
            <color indexed="81"/>
            <rFont val="Segoe UI"/>
            <family val="2"/>
          </rPr>
          <t>Mündliche Prüfung</t>
        </r>
        <r>
          <rPr>
            <sz val="9"/>
            <color indexed="81"/>
            <rFont val="Segoe UI"/>
            <family val="2"/>
          </rPr>
          <t xml:space="preserve">
</t>
        </r>
      </text>
    </comment>
    <comment ref="N6" authorId="0" shapeId="0" xr:uid="{00000000-0006-0000-0300-000003000000}">
      <text>
        <r>
          <rPr>
            <b/>
            <sz val="9"/>
            <color indexed="81"/>
            <rFont val="Segoe UI"/>
            <family val="2"/>
          </rPr>
          <t xml:space="preserve">Prüfungsergebnis
</t>
        </r>
        <r>
          <rPr>
            <sz val="9"/>
            <color indexed="81"/>
            <rFont val="Segoe UI"/>
            <family val="2"/>
          </rPr>
          <t xml:space="preserve">
</t>
        </r>
      </text>
    </comment>
    <comment ref="O6" authorId="0" shapeId="0" xr:uid="{00000000-0006-0000-0300-000004000000}">
      <text>
        <r>
          <rPr>
            <b/>
            <sz val="9"/>
            <color indexed="81"/>
            <rFont val="Segoe UI"/>
            <family val="2"/>
          </rPr>
          <t>Gesamtergebnis</t>
        </r>
        <r>
          <rPr>
            <sz val="9"/>
            <color indexed="81"/>
            <rFont val="Segoe UI"/>
            <family val="2"/>
          </rPr>
          <t xml:space="preserve">
</t>
        </r>
      </text>
    </comment>
    <comment ref="D27" authorId="0" shapeId="0" xr:uid="{00000000-0006-0000-0300-000005000000}">
      <text>
        <r>
          <rPr>
            <sz val="12"/>
            <color indexed="81"/>
            <rFont val="Segoe UI"/>
            <family val="2"/>
          </rPr>
          <t>Es darf pro Fach nur eine Streichung vorgenommen werden</t>
        </r>
        <r>
          <rPr>
            <sz val="9"/>
            <color indexed="81"/>
            <rFont val="Segoe UI"/>
            <family val="2"/>
          </rPr>
          <t xml:space="preserve">
</t>
        </r>
      </text>
    </comment>
    <comment ref="M27" authorId="0" shapeId="0" xr:uid="{00000000-0006-0000-0300-000006000000}">
      <text>
        <r>
          <rPr>
            <b/>
            <sz val="9"/>
            <color indexed="81"/>
            <rFont val="Segoe UI"/>
            <family val="2"/>
          </rPr>
          <t>FOBOSO:
Sie dürfen maximal
3 mündliche Noten eintragen!</t>
        </r>
        <r>
          <rPr>
            <sz val="9"/>
            <color indexed="81"/>
            <rFont val="Segoe UI"/>
            <family val="2"/>
          </rPr>
          <t xml:space="preserve">
</t>
        </r>
      </text>
    </comment>
    <comment ref="D28" authorId="0" shapeId="0" xr:uid="{00000000-0006-0000-0300-000007000000}">
      <text>
        <r>
          <rPr>
            <b/>
            <sz val="9"/>
            <color indexed="81"/>
            <rFont val="Segoe UI"/>
            <family val="2"/>
          </rPr>
          <t>Zur Prüfung wird nicht zugelassen, wer durch die Einbringung von 25 HJE mehr als 2 GE schlechter als 4 Punkte in Nichtprüfungsfächern erhielte.</t>
        </r>
        <r>
          <rPr>
            <sz val="9"/>
            <color indexed="81"/>
            <rFont val="Segoe UI"/>
            <family val="2"/>
          </rPr>
          <t xml:space="preserve">
</t>
        </r>
      </text>
    </comment>
    <comment ref="L29" authorId="0" shapeId="0" xr:uid="{00000000-0006-0000-0300-000008000000}">
      <text>
        <r>
          <rPr>
            <sz val="9"/>
            <color indexed="81"/>
            <rFont val="Segoe UI"/>
            <family val="2"/>
          </rPr>
          <t xml:space="preserve">Halbjahresergebnisse
</t>
        </r>
      </text>
    </comment>
    <comment ref="M29" authorId="0" shapeId="0" xr:uid="{00000000-0006-0000-0300-000009000000}">
      <text>
        <r>
          <rPr>
            <sz val="9"/>
            <color indexed="81"/>
            <rFont val="Segoe UI"/>
            <family val="2"/>
          </rPr>
          <t>Gesamtergebnisse</t>
        </r>
        <r>
          <rPr>
            <sz val="9"/>
            <color indexed="81"/>
            <rFont val="Segoe UI"/>
            <family val="2"/>
          </rPr>
          <t xml:space="preserve">
</t>
        </r>
      </text>
    </comment>
    <comment ref="N29" authorId="0" shapeId="0" xr:uid="{00000000-0006-0000-0300-00000A000000}">
      <text>
        <r>
          <rPr>
            <sz val="9"/>
            <color indexed="81"/>
            <rFont val="Segoe UI"/>
            <family val="2"/>
          </rPr>
          <t>Prüfungsergebnisse</t>
        </r>
      </text>
    </comment>
    <comment ref="J37" authorId="0" shapeId="0" xr:uid="{00000000-0006-0000-0300-00000B000000}">
      <text>
        <r>
          <rPr>
            <b/>
            <sz val="9"/>
            <color indexed="81"/>
            <rFont val="Segoe UI"/>
            <family val="2"/>
          </rPr>
          <t xml:space="preserve">Anzahl &lt; 4 gewichtet, d.h. 0 Punkte zählen doppelt
</t>
        </r>
        <r>
          <rPr>
            <sz val="9"/>
            <color indexed="81"/>
            <rFont val="Segoe UI"/>
            <family val="2"/>
          </rPr>
          <t xml:space="preserve">
</t>
        </r>
      </text>
    </comment>
    <comment ref="C38" authorId="0" shapeId="0" xr:uid="{00000000-0006-0000-0300-00000C000000}">
      <text>
        <r>
          <rPr>
            <b/>
            <sz val="9"/>
            <color indexed="81"/>
            <rFont val="Segoe UI"/>
            <family val="2"/>
          </rPr>
          <t>FOBOSO: 
Höchstens zwei Prüfungsergebnisse  mit weniger als 4 Punkten (0 zählt doppelt)</t>
        </r>
      </text>
    </comment>
    <comment ref="C39" authorId="0" shapeId="0" xr:uid="{00000000-0006-0000-0300-00000D000000}">
      <text>
        <r>
          <rPr>
            <b/>
            <sz val="9"/>
            <color indexed="81"/>
            <rFont val="Segoe UI"/>
            <family val="2"/>
          </rPr>
          <t>FOBOSO</t>
        </r>
        <r>
          <rPr>
            <sz val="9"/>
            <color indexed="81"/>
            <rFont val="Segoe UI"/>
            <family val="2"/>
          </rPr>
          <t xml:space="preserve">
</t>
        </r>
        <r>
          <rPr>
            <b/>
            <sz val="9"/>
            <color indexed="81"/>
            <rFont val="Segoe UI"/>
            <family val="2"/>
          </rPr>
          <t>Alle GE mindestens 4 Punkte.
1 mal &lt;4: mindestens 200 Punkte.
2 mal &lt; 4 mindestens 240 Punkte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Benutzer</author>
  </authors>
  <commentList>
    <comment ref="L6" authorId="0" shapeId="0" xr:uid="{00000000-0006-0000-0500-000001000000}">
      <text>
        <r>
          <rPr>
            <b/>
            <sz val="9"/>
            <color indexed="81"/>
            <rFont val="Segoe UI"/>
            <family val="2"/>
          </rPr>
          <t>Schriftliche 
Prüfung</t>
        </r>
        <r>
          <rPr>
            <sz val="9"/>
            <color indexed="81"/>
            <rFont val="Segoe UI"/>
            <family val="2"/>
          </rPr>
          <t xml:space="preserve">
</t>
        </r>
      </text>
    </comment>
    <comment ref="M6" authorId="0" shapeId="0" xr:uid="{00000000-0006-0000-0500-000002000000}">
      <text>
        <r>
          <rPr>
            <b/>
            <sz val="9"/>
            <color indexed="81"/>
            <rFont val="Segoe UI"/>
            <family val="2"/>
          </rPr>
          <t>Mündliche
Prüfung</t>
        </r>
        <r>
          <rPr>
            <sz val="9"/>
            <color indexed="81"/>
            <rFont val="Segoe UI"/>
            <family val="2"/>
          </rPr>
          <t xml:space="preserve">
</t>
        </r>
      </text>
    </comment>
    <comment ref="N6" authorId="0" shapeId="0" xr:uid="{00000000-0006-0000-0500-000003000000}">
      <text>
        <r>
          <rPr>
            <b/>
            <sz val="9"/>
            <color indexed="81"/>
            <rFont val="Segoe UI"/>
            <family val="2"/>
          </rPr>
          <t>Prüfungsergebnis</t>
        </r>
        <r>
          <rPr>
            <sz val="9"/>
            <color indexed="81"/>
            <rFont val="Segoe UI"/>
            <family val="2"/>
          </rPr>
          <t xml:space="preserve">
</t>
        </r>
      </text>
    </comment>
    <comment ref="O6" authorId="0" shapeId="0" xr:uid="{00000000-0006-0000-0500-000004000000}">
      <text>
        <r>
          <rPr>
            <b/>
            <sz val="9"/>
            <color indexed="81"/>
            <rFont val="Segoe UI"/>
            <family val="2"/>
          </rPr>
          <t xml:space="preserve">Gesamtergebnis
</t>
        </r>
        <r>
          <rPr>
            <sz val="9"/>
            <color indexed="81"/>
            <rFont val="Segoe UI"/>
            <family val="2"/>
          </rPr>
          <t xml:space="preserve">
</t>
        </r>
      </text>
    </comment>
    <comment ref="AI9" authorId="0" shapeId="0" xr:uid="{00000000-0006-0000-0500-000005000000}">
      <text>
        <r>
          <rPr>
            <b/>
            <sz val="9"/>
            <color indexed="81"/>
            <rFont val="Segoe UI"/>
            <family val="2"/>
          </rPr>
          <t>FOBOSO: 
Kein Prüfungsergebnis 0 Punkte
Höchstens zwei Prüfungsergebnisse  mit weniger als 4 Punkten (0 zählt doppelt)</t>
        </r>
        <r>
          <rPr>
            <sz val="9"/>
            <color indexed="81"/>
            <rFont val="Segoe UI"/>
            <family val="2"/>
          </rPr>
          <t xml:space="preserve">
</t>
        </r>
      </text>
    </comment>
    <comment ref="AI10" authorId="0" shapeId="0" xr:uid="{00000000-0006-0000-0500-000006000000}">
      <text>
        <r>
          <rPr>
            <b/>
            <sz val="9"/>
            <color indexed="81"/>
            <rFont val="Segoe UI"/>
            <family val="2"/>
          </rPr>
          <t xml:space="preserve">FOBOSO:
Alle GE mindestens 4 Punkte.
1 mal &lt;4: mindestens 130 Punkte.
2 mal &lt;4: mindestens 156
</t>
        </r>
      </text>
    </comment>
    <comment ref="D27" authorId="0" shapeId="0" xr:uid="{00000000-0006-0000-0500-000007000000}">
      <text>
        <r>
          <rPr>
            <b/>
            <sz val="9"/>
            <color indexed="81"/>
            <rFont val="Segoe UI"/>
            <family val="2"/>
          </rPr>
          <t>Es darf pro Fach nur eine Streichung vorgenommen werden</t>
        </r>
        <r>
          <rPr>
            <sz val="9"/>
            <color indexed="81"/>
            <rFont val="Segoe UI"/>
            <family val="2"/>
          </rPr>
          <t xml:space="preserve">
</t>
        </r>
      </text>
    </comment>
    <comment ref="M27" authorId="0" shapeId="0" xr:uid="{00000000-0006-0000-0500-000008000000}">
      <text>
        <r>
          <rPr>
            <b/>
            <sz val="9"/>
            <color indexed="81"/>
            <rFont val="Segoe UI"/>
            <family val="2"/>
          </rPr>
          <t>FOBOSO:
Sie dürfen maximal
3 mündliche Noten eintragen!</t>
        </r>
        <r>
          <rPr>
            <sz val="9"/>
            <color indexed="81"/>
            <rFont val="Segoe UI"/>
            <family val="2"/>
          </rPr>
          <t xml:space="preserve">
</t>
        </r>
      </text>
    </comment>
    <comment ref="D28" authorId="0" shapeId="0" xr:uid="{00000000-0006-0000-0500-000009000000}">
      <text>
        <r>
          <rPr>
            <b/>
            <sz val="9"/>
            <color indexed="81"/>
            <rFont val="Segoe UI"/>
            <family val="2"/>
          </rPr>
          <t>Zur Prüfung wird nicht zugelassen, wer durch die Einbringung von 16 HJE mehr als 2 GE schlechter als 4 Punkte in Nichtprüfungsfächern erhielte oder in der Seminararbeit 0 Punkte hat.</t>
        </r>
      </text>
    </comment>
    <comment ref="L29" authorId="0" shapeId="0" xr:uid="{00000000-0006-0000-0500-00000A000000}">
      <text>
        <r>
          <rPr>
            <sz val="9"/>
            <color indexed="81"/>
            <rFont val="Segoe UI"/>
            <family val="2"/>
          </rPr>
          <t>Halbjahresergebnisse</t>
        </r>
        <r>
          <rPr>
            <sz val="9"/>
            <color indexed="81"/>
            <rFont val="Segoe UI"/>
            <family val="2"/>
          </rPr>
          <t xml:space="preserve">
</t>
        </r>
      </text>
    </comment>
    <comment ref="M29" authorId="0" shapeId="0" xr:uid="{00000000-0006-0000-0500-00000B000000}">
      <text>
        <r>
          <rPr>
            <sz val="9"/>
            <color indexed="81"/>
            <rFont val="Segoe UI"/>
            <family val="2"/>
          </rPr>
          <t xml:space="preserve">Gesamtergebnisse
</t>
        </r>
      </text>
    </comment>
    <comment ref="N29" authorId="0" shapeId="0" xr:uid="{00000000-0006-0000-0500-00000C000000}">
      <text>
        <r>
          <rPr>
            <sz val="9"/>
            <color indexed="81"/>
            <rFont val="Segoe UI"/>
            <family val="2"/>
          </rPr>
          <t xml:space="preserve">Prüfungsergebnisse
</t>
        </r>
      </text>
    </comment>
    <comment ref="J37" authorId="0" shapeId="0" xr:uid="{00000000-0006-0000-0500-00000D000000}">
      <text>
        <r>
          <rPr>
            <b/>
            <sz val="9"/>
            <color indexed="81"/>
            <rFont val="Segoe UI"/>
            <family val="2"/>
          </rPr>
          <t>Anzahl &lt; 4 gewichtet, d.h. 0 Punkte zählen doppelt</t>
        </r>
        <r>
          <rPr>
            <sz val="9"/>
            <color indexed="81"/>
            <rFont val="Segoe UI"/>
            <family val="2"/>
          </rPr>
          <t xml:space="preserve">
</t>
        </r>
      </text>
    </comment>
    <comment ref="C38" authorId="0" shapeId="0" xr:uid="{00000000-0006-0000-0500-00000E000000}">
      <text>
        <r>
          <rPr>
            <b/>
            <sz val="9"/>
            <color indexed="81"/>
            <rFont val="Segoe UI"/>
            <family val="2"/>
          </rPr>
          <t>FOBOSO: 
Kein Prüfungsergebnis 0 Punkte
Höchstens zwei Prüfungsergebnisse  mit weniger als 4 Punkten (0 zählt doppelt)</t>
        </r>
      </text>
    </comment>
    <comment ref="C39" authorId="0" shapeId="0" xr:uid="{00000000-0006-0000-0500-00000F000000}">
      <text>
        <r>
          <rPr>
            <b/>
            <sz val="9"/>
            <color indexed="81"/>
            <rFont val="Segoe UI"/>
            <family val="2"/>
          </rPr>
          <t>FOBOSO:</t>
        </r>
        <r>
          <rPr>
            <sz val="9"/>
            <color indexed="81"/>
            <rFont val="Segoe UI"/>
            <family val="2"/>
          </rPr>
          <t xml:space="preserve">
</t>
        </r>
        <r>
          <rPr>
            <b/>
            <sz val="9"/>
            <color indexed="81"/>
            <rFont val="Segoe UI"/>
            <family val="2"/>
          </rPr>
          <t>Alle GE mindestens 4 Punkte.
1 mal &lt;4: mindestens 130 Punkte.
2 mal &lt;4: mindestens 156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Benutzer</author>
  </authors>
  <commentList>
    <comment ref="L6" authorId="0" shapeId="0" xr:uid="{00000000-0006-0000-0600-000001000000}">
      <text>
        <r>
          <rPr>
            <b/>
            <sz val="9"/>
            <color indexed="81"/>
            <rFont val="Segoe UI"/>
            <family val="2"/>
          </rPr>
          <t>Schriftliche 
Prüfung</t>
        </r>
        <r>
          <rPr>
            <sz val="9"/>
            <color indexed="81"/>
            <rFont val="Segoe UI"/>
            <family val="2"/>
          </rPr>
          <t xml:space="preserve">
</t>
        </r>
      </text>
    </comment>
    <comment ref="M6" authorId="0" shapeId="0" xr:uid="{00000000-0006-0000-0600-000002000000}">
      <text>
        <r>
          <rPr>
            <b/>
            <sz val="9"/>
            <color indexed="81"/>
            <rFont val="Segoe UI"/>
            <family val="2"/>
          </rPr>
          <t>Mündliche
Prüfung</t>
        </r>
        <r>
          <rPr>
            <sz val="9"/>
            <color indexed="81"/>
            <rFont val="Segoe UI"/>
            <family val="2"/>
          </rPr>
          <t xml:space="preserve">
</t>
        </r>
      </text>
    </comment>
    <comment ref="N6" authorId="0" shapeId="0" xr:uid="{00000000-0006-0000-0600-000003000000}">
      <text>
        <r>
          <rPr>
            <b/>
            <sz val="9"/>
            <color indexed="81"/>
            <rFont val="Segoe UI"/>
            <family val="2"/>
          </rPr>
          <t>Prüfungsergebnis</t>
        </r>
        <r>
          <rPr>
            <sz val="9"/>
            <color indexed="81"/>
            <rFont val="Segoe UI"/>
            <family val="2"/>
          </rPr>
          <t xml:space="preserve">
</t>
        </r>
      </text>
    </comment>
    <comment ref="O6" authorId="0" shapeId="0" xr:uid="{00000000-0006-0000-0600-000004000000}">
      <text>
        <r>
          <rPr>
            <b/>
            <sz val="9"/>
            <color indexed="81"/>
            <rFont val="Segoe UI"/>
            <family val="2"/>
          </rPr>
          <t xml:space="preserve">Gesamtergebnis
</t>
        </r>
        <r>
          <rPr>
            <sz val="9"/>
            <color indexed="81"/>
            <rFont val="Segoe UI"/>
            <family val="2"/>
          </rPr>
          <t xml:space="preserve">
</t>
        </r>
      </text>
    </comment>
    <comment ref="AI9" authorId="0" shapeId="0" xr:uid="{00000000-0006-0000-0600-000005000000}">
      <text>
        <r>
          <rPr>
            <b/>
            <sz val="9"/>
            <color indexed="81"/>
            <rFont val="Segoe UI"/>
            <family val="2"/>
          </rPr>
          <t>FOBOSO: 
Kein Prüfungsergebnis 0 Punkte
Höchstens zwei Prüfungsergebnisse  mit weniger als 4 Punkten (0 zählt doppelt)</t>
        </r>
        <r>
          <rPr>
            <sz val="9"/>
            <color indexed="81"/>
            <rFont val="Segoe UI"/>
            <family val="2"/>
          </rPr>
          <t xml:space="preserve">
</t>
        </r>
      </text>
    </comment>
    <comment ref="AI10" authorId="0" shapeId="0" xr:uid="{00000000-0006-0000-0600-000006000000}">
      <text>
        <r>
          <rPr>
            <b/>
            <sz val="9"/>
            <color indexed="81"/>
            <rFont val="Segoe UI"/>
            <family val="2"/>
          </rPr>
          <t xml:space="preserve">FOBOSO:
Alle GE mindestens 4 Punkte.
1 mal &lt;4: mindestens 140 Punkte.
2 mal &lt;4: mindestens 168
</t>
        </r>
        <r>
          <rPr>
            <sz val="9"/>
            <color indexed="81"/>
            <rFont val="Segoe UI"/>
            <family val="2"/>
          </rPr>
          <t xml:space="preserve">
</t>
        </r>
      </text>
    </comment>
    <comment ref="D27" authorId="0" shapeId="0" xr:uid="{00000000-0006-0000-0600-000007000000}">
      <text>
        <r>
          <rPr>
            <b/>
            <sz val="9"/>
            <color indexed="81"/>
            <rFont val="Segoe UI"/>
            <family val="2"/>
          </rPr>
          <t>Es darf pro Fach nur eine Streichung vorgenommen werden</t>
        </r>
        <r>
          <rPr>
            <sz val="9"/>
            <color indexed="81"/>
            <rFont val="Segoe UI"/>
            <family val="2"/>
          </rPr>
          <t xml:space="preserve">
</t>
        </r>
      </text>
    </comment>
    <comment ref="M27" authorId="0" shapeId="0" xr:uid="{00000000-0006-0000-0600-000008000000}">
      <text>
        <r>
          <rPr>
            <b/>
            <sz val="9"/>
            <color indexed="81"/>
            <rFont val="Segoe UI"/>
            <family val="2"/>
          </rPr>
          <t>FOBOSO:
Sie dürfen maximal
3 mündliche Noten eintragen!</t>
        </r>
        <r>
          <rPr>
            <sz val="9"/>
            <color indexed="81"/>
            <rFont val="Segoe UI"/>
            <family val="2"/>
          </rPr>
          <t xml:space="preserve">
</t>
        </r>
      </text>
    </comment>
    <comment ref="D28" authorId="0" shapeId="0" xr:uid="{00000000-0006-0000-0600-000009000000}">
      <text>
        <r>
          <rPr>
            <b/>
            <sz val="9"/>
            <color indexed="81"/>
            <rFont val="Segoe UI"/>
            <family val="2"/>
          </rPr>
          <t>Zur Prüfung wird nicht zugelassen, wer durch die Einbringung von 16 HJE mehr als 2 GE schlechter als 4 Punkte in Nichtprüfungsfächern erhielte oder in der Seminararbeit 0 Punkte hat.</t>
        </r>
        <r>
          <rPr>
            <sz val="9"/>
            <color indexed="81"/>
            <rFont val="Segoe UI"/>
            <family val="2"/>
          </rPr>
          <t xml:space="preserve">
</t>
        </r>
      </text>
    </comment>
    <comment ref="C29" authorId="0" shapeId="0" xr:uid="{00000000-0006-0000-0600-00000A000000}">
      <text>
        <r>
          <rPr>
            <b/>
            <sz val="9"/>
            <color indexed="81"/>
            <rFont val="Segoe UI"/>
            <family val="2"/>
          </rPr>
          <t>FOBOSO: §38 Abs. 2 Satz 1 Nr. 2</t>
        </r>
        <r>
          <rPr>
            <sz val="9"/>
            <color indexed="81"/>
            <rFont val="Segoe UI"/>
            <family val="2"/>
          </rPr>
          <t xml:space="preserve">
</t>
        </r>
      </text>
    </comment>
    <comment ref="L31" authorId="0" shapeId="0" xr:uid="{00000000-0006-0000-0600-00000B000000}">
      <text>
        <r>
          <rPr>
            <sz val="9"/>
            <color indexed="81"/>
            <rFont val="Segoe UI"/>
            <family val="2"/>
          </rPr>
          <t>Halbjahresergebnisse</t>
        </r>
        <r>
          <rPr>
            <sz val="9"/>
            <color indexed="81"/>
            <rFont val="Segoe UI"/>
            <family val="2"/>
          </rPr>
          <t xml:space="preserve">
</t>
        </r>
      </text>
    </comment>
    <comment ref="M31" authorId="0" shapeId="0" xr:uid="{00000000-0006-0000-0600-00000C000000}">
      <text>
        <r>
          <rPr>
            <sz val="9"/>
            <color indexed="81"/>
            <rFont val="Segoe UI"/>
            <family val="2"/>
          </rPr>
          <t xml:space="preserve">Gesamtergebnisse
</t>
        </r>
      </text>
    </comment>
    <comment ref="N31" authorId="0" shapeId="0" xr:uid="{00000000-0006-0000-0600-00000D000000}">
      <text>
        <r>
          <rPr>
            <sz val="9"/>
            <color indexed="81"/>
            <rFont val="Segoe UI"/>
            <family val="2"/>
          </rPr>
          <t xml:space="preserve">Prüfungsergebnisse
</t>
        </r>
      </text>
    </comment>
    <comment ref="J39" authorId="0" shapeId="0" xr:uid="{00000000-0006-0000-0600-00000E000000}">
      <text>
        <r>
          <rPr>
            <b/>
            <sz val="9"/>
            <color indexed="81"/>
            <rFont val="Segoe UI"/>
            <family val="2"/>
          </rPr>
          <t>Anzahl &lt; 4 gewichtet, d.h. 0 Punkte zählen doppelt</t>
        </r>
        <r>
          <rPr>
            <sz val="9"/>
            <color indexed="81"/>
            <rFont val="Segoe UI"/>
            <family val="2"/>
          </rPr>
          <t xml:space="preserve">
</t>
        </r>
      </text>
    </comment>
    <comment ref="C40" authorId="0" shapeId="0" xr:uid="{00000000-0006-0000-0600-00000F000000}">
      <text>
        <r>
          <rPr>
            <b/>
            <sz val="9"/>
            <color indexed="81"/>
            <rFont val="Segoe UI"/>
            <family val="2"/>
          </rPr>
          <t>FOBOSO: 
Kein Prüfungsergebnis 0 Punkte
Höchstens zwei Prüfungsergebnisse  mit weniger als 4 Punkten (0 zählt doppelt)</t>
        </r>
      </text>
    </comment>
    <comment ref="C41" authorId="0" shapeId="0" xr:uid="{00000000-0006-0000-0600-000010000000}">
      <text>
        <r>
          <rPr>
            <b/>
            <sz val="9"/>
            <color indexed="81"/>
            <rFont val="Segoe UI"/>
            <family val="2"/>
          </rPr>
          <t>FOBOSO:</t>
        </r>
        <r>
          <rPr>
            <sz val="9"/>
            <color indexed="81"/>
            <rFont val="Segoe UI"/>
            <family val="2"/>
          </rPr>
          <t xml:space="preserve">
</t>
        </r>
        <r>
          <rPr>
            <b/>
            <sz val="9"/>
            <color indexed="81"/>
            <rFont val="Segoe UI"/>
            <family val="2"/>
          </rPr>
          <t>Alle GE mindestens 4 Punkte.
1 mal &lt;4: mindestens 140 Punkte.
2 mal &lt;4: mindestens 168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Benutzer</author>
  </authors>
  <commentList>
    <comment ref="L6" authorId="0" shapeId="0" xr:uid="{00000000-0006-0000-0700-000001000000}">
      <text>
        <r>
          <rPr>
            <b/>
            <sz val="9"/>
            <color indexed="81"/>
            <rFont val="Segoe UI"/>
            <family val="2"/>
          </rPr>
          <t>Schriftliche 
Prüfung</t>
        </r>
        <r>
          <rPr>
            <sz val="9"/>
            <color indexed="81"/>
            <rFont val="Segoe UI"/>
            <family val="2"/>
          </rPr>
          <t xml:space="preserve">
</t>
        </r>
      </text>
    </comment>
    <comment ref="M6" authorId="0" shapeId="0" xr:uid="{00000000-0006-0000-0700-000002000000}">
      <text>
        <r>
          <rPr>
            <b/>
            <sz val="9"/>
            <color indexed="81"/>
            <rFont val="Segoe UI"/>
            <family val="2"/>
          </rPr>
          <t>Mündliche
Prüfung</t>
        </r>
        <r>
          <rPr>
            <sz val="9"/>
            <color indexed="81"/>
            <rFont val="Segoe UI"/>
            <family val="2"/>
          </rPr>
          <t xml:space="preserve">
</t>
        </r>
      </text>
    </comment>
    <comment ref="N6" authorId="0" shapeId="0" xr:uid="{00000000-0006-0000-0700-000003000000}">
      <text>
        <r>
          <rPr>
            <b/>
            <sz val="9"/>
            <color indexed="81"/>
            <rFont val="Segoe UI"/>
            <family val="2"/>
          </rPr>
          <t>Prüfungsergebnis</t>
        </r>
        <r>
          <rPr>
            <sz val="9"/>
            <color indexed="81"/>
            <rFont val="Segoe UI"/>
            <family val="2"/>
          </rPr>
          <t xml:space="preserve">
</t>
        </r>
      </text>
    </comment>
    <comment ref="O6" authorId="0" shapeId="0" xr:uid="{00000000-0006-0000-0700-000004000000}">
      <text>
        <r>
          <rPr>
            <b/>
            <sz val="9"/>
            <color indexed="81"/>
            <rFont val="Segoe UI"/>
            <family val="2"/>
          </rPr>
          <t xml:space="preserve">Gesamtergebnis
</t>
        </r>
        <r>
          <rPr>
            <sz val="9"/>
            <color indexed="81"/>
            <rFont val="Segoe UI"/>
            <family val="2"/>
          </rPr>
          <t xml:space="preserve">
</t>
        </r>
      </text>
    </comment>
    <comment ref="AI9" authorId="0" shapeId="0" xr:uid="{00000000-0006-0000-0700-000005000000}">
      <text>
        <r>
          <rPr>
            <b/>
            <sz val="9"/>
            <color indexed="81"/>
            <rFont val="Segoe UI"/>
            <family val="2"/>
          </rPr>
          <t>FOBOSO: 
Kein Prüfungsergebnis 0 Punkte
Höchstens zwei Prüfungsergebnisse  mit weniger als 4 Punkten (0 zählt doppelt)</t>
        </r>
        <r>
          <rPr>
            <sz val="9"/>
            <color indexed="81"/>
            <rFont val="Segoe UI"/>
            <family val="2"/>
          </rPr>
          <t xml:space="preserve">
</t>
        </r>
      </text>
    </comment>
    <comment ref="AI10" authorId="0" shapeId="0" xr:uid="{00000000-0006-0000-0700-000006000000}">
      <text>
        <r>
          <rPr>
            <b/>
            <sz val="9"/>
            <color indexed="81"/>
            <rFont val="Segoe UI"/>
            <family val="2"/>
          </rPr>
          <t>FOBOSO:
Alle GE mindestens 4 Punkte.
1 mal &lt;4: mindestens 140 Punkte.
2 mal &lt;4: mindestens 168</t>
        </r>
      </text>
    </comment>
    <comment ref="D27" authorId="0" shapeId="0" xr:uid="{00000000-0006-0000-0700-000007000000}">
      <text>
        <r>
          <rPr>
            <b/>
            <sz val="9"/>
            <color indexed="81"/>
            <rFont val="Segoe UI"/>
            <family val="2"/>
          </rPr>
          <t>Es darf pro Fach nur eine Streichung vorgenommen werden</t>
        </r>
        <r>
          <rPr>
            <sz val="9"/>
            <color indexed="81"/>
            <rFont val="Segoe UI"/>
            <family val="2"/>
          </rPr>
          <t xml:space="preserve">
</t>
        </r>
      </text>
    </comment>
    <comment ref="M27" authorId="0" shapeId="0" xr:uid="{00000000-0006-0000-0700-000008000000}">
      <text>
        <r>
          <rPr>
            <b/>
            <sz val="9"/>
            <color indexed="81"/>
            <rFont val="Segoe UI"/>
            <family val="2"/>
          </rPr>
          <t>FOBOSO:
Sie dürfen maximal
3 mündliche Noten eintragen!</t>
        </r>
        <r>
          <rPr>
            <sz val="9"/>
            <color indexed="81"/>
            <rFont val="Segoe UI"/>
            <family val="2"/>
          </rPr>
          <t xml:space="preserve">
</t>
        </r>
      </text>
    </comment>
    <comment ref="D28" authorId="0" shapeId="0" xr:uid="{00000000-0006-0000-0700-000009000000}">
      <text>
        <r>
          <rPr>
            <b/>
            <sz val="9"/>
            <color indexed="81"/>
            <rFont val="Segoe UI"/>
            <family val="2"/>
          </rPr>
          <t>Zur Prüfung wird nicht zugelassen, wer durch die Einbringung von 16 HJE mehr als 2 GE schlechter als 4 Punkte in Nichtprüfungsfächern erhielte oder in der Seminararbeit 0 Punkte hat.</t>
        </r>
        <r>
          <rPr>
            <sz val="9"/>
            <color indexed="81"/>
            <rFont val="Segoe UI"/>
            <family val="2"/>
          </rPr>
          <t xml:space="preserve">
</t>
        </r>
      </text>
    </comment>
    <comment ref="C29" authorId="0" shapeId="0" xr:uid="{00000000-0006-0000-0700-00000A000000}">
      <text>
        <r>
          <rPr>
            <b/>
            <sz val="9"/>
            <color indexed="81"/>
            <rFont val="Segoe UI"/>
            <family val="2"/>
          </rPr>
          <t>FOBOSO: §38 Abs. 2 Satz 1 Nr.3</t>
        </r>
        <r>
          <rPr>
            <sz val="9"/>
            <color indexed="81"/>
            <rFont val="Segoe UI"/>
            <family val="2"/>
          </rPr>
          <t xml:space="preserve">
</t>
        </r>
      </text>
    </comment>
    <comment ref="L31" authorId="0" shapeId="0" xr:uid="{00000000-0006-0000-0700-00000B000000}">
      <text>
        <r>
          <rPr>
            <sz val="9"/>
            <color indexed="81"/>
            <rFont val="Segoe UI"/>
            <family val="2"/>
          </rPr>
          <t>Halbjahresergebnisse</t>
        </r>
        <r>
          <rPr>
            <sz val="9"/>
            <color indexed="81"/>
            <rFont val="Segoe UI"/>
            <family val="2"/>
          </rPr>
          <t xml:space="preserve">
</t>
        </r>
      </text>
    </comment>
    <comment ref="M31" authorId="0" shapeId="0" xr:uid="{00000000-0006-0000-0700-00000C000000}">
      <text>
        <r>
          <rPr>
            <sz val="9"/>
            <color indexed="81"/>
            <rFont val="Segoe UI"/>
            <family val="2"/>
          </rPr>
          <t xml:space="preserve">Gesamtergebnisse
</t>
        </r>
      </text>
    </comment>
    <comment ref="N31" authorId="0" shapeId="0" xr:uid="{00000000-0006-0000-0700-00000D000000}">
      <text>
        <r>
          <rPr>
            <sz val="9"/>
            <color indexed="81"/>
            <rFont val="Segoe UI"/>
            <family val="2"/>
          </rPr>
          <t xml:space="preserve">Prüfungsergebnisse
</t>
        </r>
      </text>
    </comment>
    <comment ref="J39" authorId="0" shapeId="0" xr:uid="{00000000-0006-0000-0700-00000E000000}">
      <text>
        <r>
          <rPr>
            <b/>
            <sz val="9"/>
            <color indexed="81"/>
            <rFont val="Segoe UI"/>
            <family val="2"/>
          </rPr>
          <t>Anzahl &lt; 4 gewichtet, d.h. 0 Punkte zählen doppelt</t>
        </r>
        <r>
          <rPr>
            <sz val="9"/>
            <color indexed="81"/>
            <rFont val="Segoe UI"/>
            <family val="2"/>
          </rPr>
          <t xml:space="preserve">
</t>
        </r>
      </text>
    </comment>
    <comment ref="C40" authorId="0" shapeId="0" xr:uid="{00000000-0006-0000-0700-00000F000000}">
      <text>
        <r>
          <rPr>
            <b/>
            <sz val="9"/>
            <color indexed="81"/>
            <rFont val="Segoe UI"/>
            <family val="2"/>
          </rPr>
          <t>FOBOSO: 
Kein Prüfungsergebnis 0 Punkte
Höchstens zwei Prüfungsergebnisse  mit weniger als 4 Punkten (0 zählt doppelt)</t>
        </r>
      </text>
    </comment>
    <comment ref="C41" authorId="0" shapeId="0" xr:uid="{00000000-0006-0000-0700-000010000000}">
      <text>
        <r>
          <rPr>
            <b/>
            <sz val="9"/>
            <color indexed="81"/>
            <rFont val="Segoe UI"/>
            <family val="2"/>
          </rPr>
          <t>FOBOSO:
Alle GE mindestens 4 Punkte.
1 mal &lt;4: mindestens 140 Punkte.
2 mal &lt;4: mindestens 168</t>
        </r>
      </text>
    </comment>
  </commentList>
</comments>
</file>

<file path=xl/sharedStrings.xml><?xml version="1.0" encoding="utf-8"?>
<sst xmlns="http://schemas.openxmlformats.org/spreadsheetml/2006/main" count="556" uniqueCount="200">
  <si>
    <t>11/1</t>
  </si>
  <si>
    <t>11/2</t>
  </si>
  <si>
    <t>12/1</t>
  </si>
  <si>
    <t>12/2</t>
  </si>
  <si>
    <t>Religionslehre/Ethik</t>
  </si>
  <si>
    <t>Deutsch</t>
  </si>
  <si>
    <t>Englisch</t>
  </si>
  <si>
    <t>Geschichte</t>
  </si>
  <si>
    <t>Sozialkunde</t>
  </si>
  <si>
    <t>Mathematik</t>
  </si>
  <si>
    <t>Profilfach 1</t>
  </si>
  <si>
    <t>Profilfach 2</t>
  </si>
  <si>
    <t>Profilfach 3</t>
  </si>
  <si>
    <t>Profilfach 4</t>
  </si>
  <si>
    <t>Wahlpflichtfach 1</t>
  </si>
  <si>
    <t>Wahlpflichtfach 2</t>
  </si>
  <si>
    <t>Wahlpflichtfach 3</t>
  </si>
  <si>
    <t>Fachreferat</t>
  </si>
  <si>
    <t>Fachpraktische Ausbildung</t>
  </si>
  <si>
    <t>sP</t>
  </si>
  <si>
    <t>mP</t>
  </si>
  <si>
    <t>Abschlussprüfung FOS 12</t>
  </si>
  <si>
    <t>Punktezahl Fachreferat</t>
  </si>
  <si>
    <t>Durchschnittsnote:</t>
  </si>
  <si>
    <t>Punkte</t>
  </si>
  <si>
    <t>Streichungen überprüfen</t>
  </si>
  <si>
    <t xml:space="preserve">B-A </t>
  </si>
  <si>
    <t>Aspekte der Biologie</t>
  </si>
  <si>
    <t xml:space="preserve">Bte </t>
  </si>
  <si>
    <t>Biotechnologie</t>
  </si>
  <si>
    <t xml:space="preserve">C-A </t>
  </si>
  <si>
    <t>Aspekte der Chemie</t>
  </si>
  <si>
    <t xml:space="preserve">EBC </t>
  </si>
  <si>
    <t>English Book Club</t>
  </si>
  <si>
    <t xml:space="preserve">F </t>
  </si>
  <si>
    <t>Französisch</t>
  </si>
  <si>
    <t xml:space="preserve">F-f </t>
  </si>
  <si>
    <t>Französisch (fortgeführt)</t>
  </si>
  <si>
    <t xml:space="preserve">GEx </t>
  </si>
  <si>
    <t>Experimentelles Gestalten</t>
  </si>
  <si>
    <t xml:space="preserve">GSz </t>
  </si>
  <si>
    <t xml:space="preserve">IBS </t>
  </si>
  <si>
    <t>International Business Studies</t>
  </si>
  <si>
    <t xml:space="preserve">Inf </t>
  </si>
  <si>
    <t>Informatik</t>
  </si>
  <si>
    <t xml:space="preserve">IPo </t>
  </si>
  <si>
    <t>Internationale Politik</t>
  </si>
  <si>
    <t xml:space="preserve">It </t>
  </si>
  <si>
    <t>Italienisch</t>
  </si>
  <si>
    <t xml:space="preserve">Ku </t>
  </si>
  <si>
    <t xml:space="preserve">L </t>
  </si>
  <si>
    <t>Latein</t>
  </si>
  <si>
    <t xml:space="preserve">M+ </t>
  </si>
  <si>
    <t>Mathematik Additum</t>
  </si>
  <si>
    <t xml:space="preserve">Mu </t>
  </si>
  <si>
    <t xml:space="preserve">Ph+ </t>
  </si>
  <si>
    <t>Physik (Additum)</t>
  </si>
  <si>
    <t xml:space="preserve">PhA </t>
  </si>
  <si>
    <t>Aspekte der Physik</t>
  </si>
  <si>
    <t xml:space="preserve">PsA </t>
  </si>
  <si>
    <t>Aspekte der Psychologie</t>
  </si>
  <si>
    <t xml:space="preserve">RGw </t>
  </si>
  <si>
    <t>Gesundheitswirtschaft und Recht</t>
  </si>
  <si>
    <t xml:space="preserve">Ru </t>
  </si>
  <si>
    <t>Russisch</t>
  </si>
  <si>
    <t xml:space="preserve">S </t>
  </si>
  <si>
    <t xml:space="preserve">S+A </t>
  </si>
  <si>
    <t xml:space="preserve">SGe </t>
  </si>
  <si>
    <t>Spektrum der Gesundheit</t>
  </si>
  <si>
    <t xml:space="preserve">SoP </t>
  </si>
  <si>
    <t>Sozialpsychologie</t>
  </si>
  <si>
    <t xml:space="preserve">Soz </t>
  </si>
  <si>
    <t>Soziologie</t>
  </si>
  <si>
    <t xml:space="preserve">Sp </t>
  </si>
  <si>
    <t>Spanisch</t>
  </si>
  <si>
    <t xml:space="preserve">Spf </t>
  </si>
  <si>
    <t>Spanisch (fortgeführt)</t>
  </si>
  <si>
    <t xml:space="preserve">WAk </t>
  </si>
  <si>
    <t>Wirtschaft Aktuell</t>
  </si>
  <si>
    <t xml:space="preserve">WR </t>
  </si>
  <si>
    <t>Wirtschaft und Recht</t>
  </si>
  <si>
    <t>WPF 1</t>
  </si>
  <si>
    <t>WPF 2</t>
  </si>
  <si>
    <t>WPF 3</t>
  </si>
  <si>
    <t>Wahlpflichtfächer</t>
  </si>
  <si>
    <t>Physik</t>
  </si>
  <si>
    <t>BWR</t>
  </si>
  <si>
    <t>IBV</t>
  </si>
  <si>
    <t>Päd./Psy.</t>
  </si>
  <si>
    <t>Biologie</t>
  </si>
  <si>
    <t>Gesundheitswissenschaften</t>
  </si>
  <si>
    <t>Gestaltung</t>
  </si>
  <si>
    <t>Gestaltung Praxis</t>
  </si>
  <si>
    <t>Technologie</t>
  </si>
  <si>
    <t>Chemie</t>
  </si>
  <si>
    <t>VWL</t>
  </si>
  <si>
    <t>Sozialwirtschaft und Recht</t>
  </si>
  <si>
    <t>Gestaltung Theorie</t>
  </si>
  <si>
    <t>Medien</t>
  </si>
  <si>
    <t>Rechtslehre</t>
  </si>
  <si>
    <t>Kom./Int.</t>
  </si>
  <si>
    <t>Naturwissenschaften</t>
  </si>
  <si>
    <t>Mathe Additum</t>
  </si>
  <si>
    <t>IBS</t>
  </si>
  <si>
    <t>Anzahl 0:</t>
  </si>
  <si>
    <t>Anzahl 1:</t>
  </si>
  <si>
    <t>Anzahl 2:</t>
  </si>
  <si>
    <t>Anzahl 3:</t>
  </si>
  <si>
    <t>Fachabitur:</t>
  </si>
  <si>
    <t>11/1 einbr</t>
  </si>
  <si>
    <t>11/2 einbr</t>
  </si>
  <si>
    <t>12/1 einbr</t>
  </si>
  <si>
    <t>12/2 einbr</t>
  </si>
  <si>
    <t>Name: _____________________________</t>
  </si>
  <si>
    <t>S</t>
  </si>
  <si>
    <t>EB</t>
  </si>
  <si>
    <t>T</t>
  </si>
  <si>
    <t>Technik</t>
  </si>
  <si>
    <t>ABU</t>
  </si>
  <si>
    <t>W</t>
  </si>
  <si>
    <t>Wirtschaft</t>
  </si>
  <si>
    <t>IW</t>
  </si>
  <si>
    <t>Int. Wirtschaft</t>
  </si>
  <si>
    <t>Franz./Span.</t>
  </si>
  <si>
    <t>Sozialwesen</t>
  </si>
  <si>
    <t>Gdh</t>
  </si>
  <si>
    <t>Gesundheit</t>
  </si>
  <si>
    <t>Gst</t>
  </si>
  <si>
    <t>kein</t>
  </si>
  <si>
    <t>-</t>
  </si>
  <si>
    <t>Sport*</t>
  </si>
  <si>
    <t>Musik*</t>
  </si>
  <si>
    <t>Kunst*</t>
  </si>
  <si>
    <t>Studier- und Arbeitstechniken*</t>
  </si>
  <si>
    <t>Szenisches Gestalten*</t>
  </si>
  <si>
    <t>Agrar</t>
  </si>
  <si>
    <t>x</t>
  </si>
  <si>
    <t>Profilfach 5</t>
  </si>
  <si>
    <t>(3) 1</t>
  </si>
  <si>
    <t>(3) 2</t>
  </si>
  <si>
    <t>(2h) 3</t>
  </si>
  <si>
    <t>(2v) 4</t>
  </si>
  <si>
    <t>(3) 5</t>
  </si>
  <si>
    <t>(3) 6</t>
  </si>
  <si>
    <t>Profilfach 6</t>
  </si>
  <si>
    <t>(2h) 7</t>
  </si>
  <si>
    <t>(2h) 8</t>
  </si>
  <si>
    <t>Anzahl</t>
  </si>
  <si>
    <t>Str.</t>
  </si>
  <si>
    <t>Anzahl 4:</t>
  </si>
  <si>
    <t>Anzahl 5:</t>
  </si>
  <si>
    <t>&lt; 4</t>
  </si>
  <si>
    <t>&lt; 4 (gew.):</t>
  </si>
  <si>
    <t>GE</t>
  </si>
  <si>
    <t>GE(eingebracht)</t>
  </si>
  <si>
    <t>Punktezahl FPA</t>
  </si>
  <si>
    <t>Punktezahl Prüfungen (dreifach)</t>
  </si>
  <si>
    <t xml:space="preserve"> Anzahl:</t>
  </si>
  <si>
    <t>Gesamt:</t>
  </si>
  <si>
    <t>* nicht einbringungsfähig</t>
  </si>
  <si>
    <t>Alle Berechnungen sind rechtlich nicht verbindlich!</t>
  </si>
  <si>
    <t xml:space="preserve">Ausbildungsrichtung:  </t>
  </si>
  <si>
    <t>Geschichte/Sozialkunde</t>
  </si>
  <si>
    <t>© H. Müller | T. Pickel (VBA) | M. Thoma (Gestaltung)</t>
  </si>
  <si>
    <r>
      <t xml:space="preserve">Zu streichende HJE mit </t>
    </r>
    <r>
      <rPr>
        <b/>
        <sz val="9"/>
        <color rgb="FFFF0000"/>
        <rFont val="Calibri"/>
        <family val="2"/>
        <scheme val="minor"/>
      </rPr>
      <t>x</t>
    </r>
    <r>
      <rPr>
        <sz val="9"/>
        <color theme="1"/>
        <rFont val="Calibri"/>
        <family val="2"/>
        <scheme val="minor"/>
      </rPr>
      <t xml:space="preserve"> markieren!</t>
    </r>
  </si>
  <si>
    <t>Punktezahl weiterer 25 HJE</t>
  </si>
  <si>
    <t>HJE</t>
  </si>
  <si>
    <t>PE</t>
  </si>
  <si>
    <t>Anzahl HJE</t>
  </si>
  <si>
    <t>Anzahl GE</t>
  </si>
  <si>
    <t>Anzahl PE</t>
  </si>
  <si>
    <t>Überprüfung nach § 35 (9):</t>
  </si>
  <si>
    <t>Überprüfung nach § 35 (9)</t>
  </si>
  <si>
    <t>Erika Musterfrau</t>
  </si>
  <si>
    <t>Anzahl:</t>
  </si>
  <si>
    <t>Eingabe</t>
  </si>
  <si>
    <t>Wahlpflichtfach auswählen</t>
  </si>
  <si>
    <t>Anzahl GE(nichtprüfung)&lt;4</t>
  </si>
  <si>
    <t>Anzahl&lt;4 Nichtprüfung</t>
  </si>
  <si>
    <t>Hans Streichinger</t>
  </si>
  <si>
    <t>Prüfungsergebnisse</t>
  </si>
  <si>
    <t>Gesamtergebnisse</t>
  </si>
  <si>
    <t>&lt;4</t>
  </si>
  <si>
    <t>Kommunik./Interakt.</t>
  </si>
  <si>
    <t>Seminararbeit</t>
  </si>
  <si>
    <t>Punktezahl weiterer 16 HJE</t>
  </si>
  <si>
    <t>13/1</t>
  </si>
  <si>
    <t>13/2</t>
  </si>
  <si>
    <t>Punktezahl Prüfungen (2-fach)</t>
  </si>
  <si>
    <t>Punktezahl Seminararbeit (2-fach)</t>
  </si>
  <si>
    <t>Sprache</t>
  </si>
  <si>
    <t>Franz./Span. (fortgeführt)</t>
  </si>
  <si>
    <t>Ergänzngsprüfung 2. Fremdsprache</t>
  </si>
  <si>
    <t>Abschlussprüfung ABITUR</t>
  </si>
  <si>
    <t>Zweite Fremdsprache:</t>
  </si>
  <si>
    <t>von 420</t>
  </si>
  <si>
    <t>von 390</t>
  </si>
  <si>
    <t>Anz. mdl. Prfg</t>
  </si>
  <si>
    <t>Ergänzungsprüfung 2. Fremdsprache</t>
  </si>
  <si>
    <t>Version 07.02.20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</si>
</sst>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_-* #,##0.0000\ _€_-;\-* #,##0.0000\ _€_-;_-* &quot;-&quot;??\ _€_-;_-@_-"/>
    <numFmt numFmtId="166" formatCode="0.000"/>
  </numFmts>
  <fonts count="23">
    <font>
      <sz val="12"/>
      <color theme="1"/>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9"/>
      <color indexed="81"/>
      <name val="Segoe UI"/>
      <family val="2"/>
    </font>
    <font>
      <sz val="10"/>
      <color rgb="FF333333"/>
      <name val="ArialMT"/>
    </font>
    <font>
      <i/>
      <sz val="12"/>
      <color theme="1"/>
      <name val="Calibri"/>
      <family val="2"/>
      <scheme val="minor"/>
    </font>
    <font>
      <sz val="9"/>
      <color indexed="81"/>
      <name val="Segoe UI"/>
      <family val="2"/>
    </font>
    <font>
      <sz val="12"/>
      <color indexed="81"/>
      <name val="Segoe UI"/>
      <family val="2"/>
    </font>
    <font>
      <sz val="9"/>
      <color theme="1"/>
      <name val="Calibri"/>
      <family val="2"/>
      <scheme val="minor"/>
    </font>
    <font>
      <b/>
      <sz val="12"/>
      <color rgb="FFFF0000"/>
      <name val="Calibri"/>
      <family val="2"/>
      <scheme val="minor"/>
    </font>
    <font>
      <b/>
      <sz val="9"/>
      <color rgb="FFFF0000"/>
      <name val="Calibri"/>
      <family val="2"/>
      <scheme val="minor"/>
    </font>
    <font>
      <sz val="12"/>
      <color theme="2" tint="-0.499984740745262"/>
      <name val="Calibri"/>
      <family val="2"/>
      <scheme val="minor"/>
    </font>
    <font>
      <b/>
      <sz val="16"/>
      <color theme="1"/>
      <name val="Calibri"/>
      <family val="2"/>
      <scheme val="minor"/>
    </font>
    <font>
      <b/>
      <sz val="12"/>
      <color theme="0"/>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4"/>
      <color theme="1"/>
      <name val="Calibri"/>
      <family val="2"/>
      <scheme val="minor"/>
    </font>
    <font>
      <sz val="10"/>
      <color theme="1"/>
      <name val="Calibri"/>
      <family val="2"/>
    </font>
    <font>
      <b/>
      <sz val="12"/>
      <color theme="0" tint="-0.34998626667073579"/>
      <name val="Calibri"/>
      <family val="2"/>
      <scheme val="minor"/>
    </font>
    <font>
      <sz val="12"/>
      <name val="Calibri"/>
      <family val="2"/>
      <scheme val="minor"/>
    </font>
    <font>
      <sz val="12"/>
      <color theme="1"/>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3" fontId="22" fillId="0" borderId="0" applyFont="0" applyFill="0" applyBorder="0" applyAlignment="0" applyProtection="0"/>
  </cellStyleXfs>
  <cellXfs count="330">
    <xf numFmtId="0" fontId="0" fillId="0" borderId="0" xfId="0"/>
    <xf numFmtId="0" fontId="0" fillId="0" borderId="0" xfId="0" applyFill="1" applyBorder="1" applyAlignment="1" applyProtection="1">
      <alignment horizontal="center"/>
    </xf>
    <xf numFmtId="0" fontId="0" fillId="0" borderId="9" xfId="0" applyBorder="1" applyAlignment="1" applyProtection="1">
      <alignment horizontal="center"/>
    </xf>
    <xf numFmtId="0" fontId="0" fillId="0" borderId="9" xfId="0" applyFill="1" applyBorder="1" applyAlignment="1" applyProtection="1">
      <alignment horizontal="center"/>
    </xf>
    <xf numFmtId="0" fontId="0" fillId="0" borderId="11" xfId="0" applyFill="1" applyBorder="1" applyAlignment="1" applyProtection="1">
      <alignment horizontal="center"/>
    </xf>
    <xf numFmtId="0" fontId="0" fillId="5" borderId="12" xfId="0" applyFill="1" applyBorder="1" applyAlignment="1" applyProtection="1">
      <alignment horizontal="center"/>
      <protection locked="0"/>
    </xf>
    <xf numFmtId="0" fontId="0" fillId="0" borderId="12" xfId="0" applyBorder="1" applyAlignment="1" applyProtection="1">
      <alignment horizontal="center"/>
    </xf>
    <xf numFmtId="0" fontId="10" fillId="0" borderId="8" xfId="0" applyFont="1" applyFill="1" applyBorder="1" applyAlignment="1" applyProtection="1">
      <alignment horizontal="center"/>
      <protection locked="0"/>
    </xf>
    <xf numFmtId="0" fontId="12" fillId="5" borderId="9"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pplyProtection="1">
      <alignment horizontal="center"/>
    </xf>
    <xf numFmtId="0" fontId="0" fillId="0" borderId="15" xfId="0" applyBorder="1" applyAlignment="1" applyProtection="1">
      <alignment horizontal="center"/>
    </xf>
    <xf numFmtId="0" fontId="10" fillId="0" borderId="17" xfId="0" applyFont="1" applyFill="1" applyBorder="1" applyAlignment="1" applyProtection="1">
      <alignment horizontal="center"/>
      <protection locked="0"/>
    </xf>
    <xf numFmtId="0" fontId="12" fillId="5" borderId="18" xfId="0" applyFont="1"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10" fillId="0" borderId="22" xfId="0" applyFont="1" applyFill="1" applyBorder="1" applyAlignment="1" applyProtection="1">
      <alignment horizontal="center"/>
      <protection locked="0"/>
    </xf>
    <xf numFmtId="0" fontId="0" fillId="0" borderId="23" xfId="0" applyBorder="1" applyAlignment="1" applyProtection="1">
      <alignment horizontal="center"/>
    </xf>
    <xf numFmtId="0" fontId="12" fillId="5" borderId="23" xfId="0" applyFont="1" applyFill="1" applyBorder="1" applyAlignment="1" applyProtection="1">
      <alignment horizontal="center"/>
      <protection locked="0"/>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10" fillId="0" borderId="28" xfId="0" applyFont="1" applyFill="1" applyBorder="1" applyAlignment="1" applyProtection="1">
      <alignment horizontal="center"/>
      <protection locked="0"/>
    </xf>
    <xf numFmtId="0" fontId="0" fillId="0" borderId="29" xfId="0" applyBorder="1" applyAlignment="1" applyProtection="1">
      <alignment horizontal="center"/>
    </xf>
    <xf numFmtId="0" fontId="12" fillId="5" borderId="29" xfId="0" applyFont="1" applyFill="1" applyBorder="1" applyAlignment="1" applyProtection="1">
      <alignment horizontal="center"/>
      <protection locked="0"/>
    </xf>
    <xf numFmtId="0" fontId="0" fillId="0" borderId="31" xfId="0" applyBorder="1" applyAlignment="1" applyProtection="1">
      <alignment horizontal="center"/>
    </xf>
    <xf numFmtId="0" fontId="0" fillId="0" borderId="32" xfId="0" applyBorder="1" applyAlignment="1" applyProtection="1">
      <alignment horizontal="center"/>
    </xf>
    <xf numFmtId="0" fontId="2" fillId="0" borderId="22" xfId="0" applyFont="1" applyFill="1" applyBorder="1" applyAlignment="1" applyProtection="1">
      <alignment horizontal="center"/>
    </xf>
    <xf numFmtId="0" fontId="0" fillId="5" borderId="23" xfId="0" applyFill="1" applyBorder="1" applyAlignment="1" applyProtection="1">
      <alignment horizontal="center"/>
      <protection locked="0"/>
    </xf>
    <xf numFmtId="0" fontId="0" fillId="0" borderId="22" xfId="0" applyBorder="1" applyAlignment="1" applyProtection="1">
      <alignment horizontal="center"/>
    </xf>
    <xf numFmtId="0" fontId="0" fillId="0" borderId="19" xfId="0" applyBorder="1" applyAlignment="1" applyProtection="1">
      <alignment horizontal="center"/>
    </xf>
    <xf numFmtId="0" fontId="0" fillId="0" borderId="11" xfId="0" applyBorder="1" applyAlignment="1" applyProtection="1">
      <alignment horizontal="center"/>
    </xf>
    <xf numFmtId="0" fontId="12" fillId="5" borderId="11" xfId="0" applyFont="1" applyFill="1" applyBorder="1" applyAlignment="1" applyProtection="1">
      <alignment horizontal="center"/>
      <protection locked="0"/>
    </xf>
    <xf numFmtId="0" fontId="0" fillId="0" borderId="24" xfId="0" applyBorder="1" applyAlignment="1" applyProtection="1">
      <alignment horizontal="center"/>
    </xf>
    <xf numFmtId="0" fontId="0" fillId="0" borderId="30" xfId="0" applyBorder="1" applyAlignment="1" applyProtection="1">
      <alignment horizontal="center"/>
    </xf>
    <xf numFmtId="0" fontId="0" fillId="5" borderId="24" xfId="0" applyFill="1" applyBorder="1" applyAlignment="1" applyProtection="1">
      <alignment horizontal="center"/>
      <protection locked="0"/>
    </xf>
    <xf numFmtId="0" fontId="6" fillId="0" borderId="33" xfId="0" applyFont="1" applyBorder="1" applyProtection="1">
      <protection locked="0"/>
    </xf>
    <xf numFmtId="0" fontId="6" fillId="0" borderId="10" xfId="0" applyFont="1" applyBorder="1" applyProtection="1">
      <protection locked="0"/>
    </xf>
    <xf numFmtId="0" fontId="12" fillId="5" borderId="19" xfId="0" applyFont="1" applyFill="1" applyBorder="1" applyAlignment="1" applyProtection="1">
      <alignment horizontal="center"/>
      <protection locked="0"/>
    </xf>
    <xf numFmtId="0" fontId="12" fillId="5" borderId="24" xfId="0" applyFont="1" applyFill="1" applyBorder="1" applyAlignment="1" applyProtection="1">
      <alignment horizontal="center"/>
      <protection locked="0"/>
    </xf>
    <xf numFmtId="0" fontId="12" fillId="5" borderId="30" xfId="0" applyFont="1" applyFill="1" applyBorder="1" applyAlignment="1" applyProtection="1">
      <alignment horizontal="center"/>
      <protection locked="0"/>
    </xf>
    <xf numFmtId="0" fontId="1" fillId="3" borderId="1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22" xfId="0" applyFont="1" applyFill="1" applyBorder="1" applyAlignment="1" applyProtection="1">
      <alignment horizontal="center"/>
    </xf>
    <xf numFmtId="0" fontId="0" fillId="0" borderId="35" xfId="0" applyBorder="1" applyAlignment="1" applyProtection="1">
      <alignment horizontal="center"/>
    </xf>
    <xf numFmtId="0" fontId="0" fillId="0" borderId="36" xfId="0" applyBorder="1" applyAlignment="1" applyProtection="1">
      <alignment horizontal="center"/>
    </xf>
    <xf numFmtId="0" fontId="0" fillId="0" borderId="37" xfId="0" applyBorder="1" applyAlignment="1" applyProtection="1">
      <alignment horizontal="center"/>
    </xf>
    <xf numFmtId="0" fontId="0" fillId="0" borderId="16" xfId="0" applyBorder="1" applyAlignment="1" applyProtection="1">
      <alignment horizontal="center"/>
    </xf>
    <xf numFmtId="0" fontId="10" fillId="0" borderId="14" xfId="0" applyFont="1" applyFill="1" applyBorder="1" applyAlignment="1" applyProtection="1">
      <alignment horizontal="center"/>
      <protection locked="0"/>
    </xf>
    <xf numFmtId="0" fontId="12" fillId="5" borderId="16" xfId="0" applyFont="1" applyFill="1" applyBorder="1" applyAlignment="1" applyProtection="1">
      <alignment horizontal="center"/>
      <protection locked="0"/>
    </xf>
    <xf numFmtId="0" fontId="12" fillId="5" borderId="15" xfId="0" applyFont="1" applyFill="1" applyBorder="1" applyAlignment="1" applyProtection="1">
      <alignment horizontal="center"/>
      <protection locked="0"/>
    </xf>
    <xf numFmtId="0" fontId="0" fillId="0" borderId="41" xfId="0" applyBorder="1" applyAlignment="1" applyProtection="1">
      <alignment horizontal="center"/>
    </xf>
    <xf numFmtId="0" fontId="0" fillId="0" borderId="42" xfId="0" applyBorder="1" applyAlignment="1" applyProtection="1">
      <alignment horizontal="center"/>
    </xf>
    <xf numFmtId="0" fontId="0" fillId="0" borderId="43" xfId="0" applyBorder="1" applyAlignment="1" applyProtection="1">
      <alignment horizontal="center"/>
    </xf>
    <xf numFmtId="0" fontId="1" fillId="3" borderId="14" xfId="0" applyFont="1" applyFill="1" applyBorder="1" applyAlignment="1" applyProtection="1">
      <alignment horizontal="center"/>
    </xf>
    <xf numFmtId="0" fontId="1" fillId="3" borderId="28" xfId="0" applyFont="1" applyFill="1" applyBorder="1" applyAlignment="1" applyProtection="1">
      <alignment horizontal="center"/>
    </xf>
    <xf numFmtId="0" fontId="6" fillId="0" borderId="40" xfId="0" applyFont="1" applyBorder="1" applyProtection="1">
      <protection locked="0"/>
    </xf>
    <xf numFmtId="0" fontId="0" fillId="0" borderId="14" xfId="0" applyFill="1" applyBorder="1" applyAlignment="1" applyProtection="1">
      <alignment horizontal="center"/>
      <protection locked="0"/>
    </xf>
    <xf numFmtId="0" fontId="0" fillId="0" borderId="28" xfId="0" applyFill="1" applyBorder="1" applyAlignment="1" applyProtection="1">
      <alignment horizontal="center"/>
    </xf>
    <xf numFmtId="0" fontId="0" fillId="0" borderId="19" xfId="0" applyFill="1" applyBorder="1" applyAlignment="1" applyProtection="1">
      <alignment horizontal="center"/>
    </xf>
    <xf numFmtId="0" fontId="0" fillId="0" borderId="29" xfId="0" applyFill="1" applyBorder="1" applyAlignment="1" applyProtection="1">
      <alignment horizontal="center"/>
    </xf>
    <xf numFmtId="0" fontId="12" fillId="0" borderId="9" xfId="0" applyFont="1" applyFill="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0" fillId="0" borderId="24" xfId="0" applyFill="1" applyBorder="1" applyAlignment="1" applyProtection="1">
      <alignment horizontal="center"/>
    </xf>
    <xf numFmtId="0" fontId="0" fillId="0" borderId="23" xfId="0" applyFill="1" applyBorder="1" applyAlignment="1" applyProtection="1">
      <alignment horizontal="center"/>
    </xf>
    <xf numFmtId="0" fontId="0" fillId="0" borderId="16" xfId="0" applyFill="1" applyBorder="1" applyAlignment="1" applyProtection="1">
      <alignment horizontal="center"/>
    </xf>
    <xf numFmtId="0" fontId="0" fillId="0" borderId="15" xfId="0" applyFill="1" applyBorder="1" applyAlignment="1" applyProtection="1">
      <alignment horizontal="center"/>
    </xf>
    <xf numFmtId="0" fontId="0" fillId="0" borderId="30" xfId="0" applyFill="1" applyBorder="1" applyAlignment="1" applyProtection="1">
      <alignment horizontal="center"/>
    </xf>
    <xf numFmtId="0" fontId="0" fillId="0" borderId="13" xfId="0" applyFill="1" applyBorder="1" applyAlignment="1" applyProtection="1">
      <alignment horizontal="center"/>
    </xf>
    <xf numFmtId="0" fontId="0" fillId="0" borderId="12" xfId="0" applyFill="1" applyBorder="1" applyAlignment="1" applyProtection="1">
      <alignment horizontal="center"/>
    </xf>
    <xf numFmtId="0" fontId="1" fillId="0" borderId="8" xfId="0" applyFont="1" applyFill="1" applyBorder="1" applyAlignment="1" applyProtection="1">
      <alignment horizontal="center"/>
    </xf>
    <xf numFmtId="0" fontId="0" fillId="0" borderId="41" xfId="0" applyFill="1" applyBorder="1" applyAlignment="1" applyProtection="1">
      <alignment horizontal="center"/>
    </xf>
    <xf numFmtId="0" fontId="0" fillId="0" borderId="42" xfId="0" applyFill="1" applyBorder="1" applyAlignment="1" applyProtection="1">
      <alignment horizontal="center"/>
    </xf>
    <xf numFmtId="0" fontId="0" fillId="0" borderId="43" xfId="0" applyFill="1" applyBorder="1" applyAlignment="1" applyProtection="1">
      <alignment horizontal="center"/>
    </xf>
    <xf numFmtId="0" fontId="1" fillId="0" borderId="14" xfId="0" applyFont="1" applyFill="1" applyBorder="1" applyAlignment="1" applyProtection="1">
      <alignment horizontal="center"/>
    </xf>
    <xf numFmtId="0" fontId="2" fillId="0" borderId="47" xfId="0" applyFont="1" applyFill="1" applyBorder="1" applyAlignment="1" applyProtection="1">
      <alignment horizontal="center"/>
    </xf>
    <xf numFmtId="0" fontId="0" fillId="0" borderId="46" xfId="0" applyFill="1" applyBorder="1" applyAlignment="1" applyProtection="1">
      <alignment horizontal="center"/>
    </xf>
    <xf numFmtId="0" fontId="0" fillId="0" borderId="47" xfId="0" applyFill="1" applyBorder="1" applyAlignment="1" applyProtection="1">
      <alignment horizontal="center"/>
    </xf>
    <xf numFmtId="0" fontId="0" fillId="0" borderId="48" xfId="0" applyFill="1" applyBorder="1" applyAlignment="1" applyProtection="1">
      <alignment horizontal="center"/>
    </xf>
    <xf numFmtId="0" fontId="0" fillId="0" borderId="49" xfId="0" applyFill="1" applyBorder="1" applyAlignment="1" applyProtection="1">
      <alignment horizontal="center"/>
    </xf>
    <xf numFmtId="0" fontId="0" fillId="0" borderId="50" xfId="0" applyFill="1" applyBorder="1" applyAlignment="1" applyProtection="1">
      <alignment horizontal="center"/>
    </xf>
    <xf numFmtId="0" fontId="0" fillId="0" borderId="51" xfId="0" applyFill="1" applyBorder="1" applyAlignment="1" applyProtection="1">
      <alignment horizontal="center"/>
    </xf>
    <xf numFmtId="0" fontId="1" fillId="0" borderId="47" xfId="0" applyFont="1" applyFill="1" applyBorder="1" applyAlignment="1" applyProtection="1">
      <alignment horizontal="center"/>
    </xf>
    <xf numFmtId="0" fontId="0" fillId="0" borderId="4" xfId="0" applyFill="1" applyBorder="1" applyAlignment="1" applyProtection="1">
      <alignment horizontal="center"/>
    </xf>
    <xf numFmtId="0" fontId="0" fillId="0" borderId="5" xfId="0" applyFill="1" applyBorder="1" applyAlignment="1" applyProtection="1">
      <alignment horizontal="center"/>
    </xf>
    <xf numFmtId="0" fontId="0" fillId="0" borderId="52" xfId="0" applyBorder="1" applyAlignment="1" applyProtection="1">
      <alignment horizontal="center"/>
    </xf>
    <xf numFmtId="0" fontId="0" fillId="0" borderId="39" xfId="0" applyBorder="1" applyAlignment="1" applyProtection="1">
      <alignment horizontal="center"/>
    </xf>
    <xf numFmtId="0" fontId="0" fillId="0" borderId="53" xfId="0" applyBorder="1" applyAlignment="1" applyProtection="1">
      <alignment horizontal="center"/>
    </xf>
    <xf numFmtId="0" fontId="1" fillId="3" borderId="5" xfId="0" applyFont="1" applyFill="1" applyBorder="1" applyAlignment="1" applyProtection="1">
      <alignment horizontal="center"/>
    </xf>
    <xf numFmtId="0" fontId="10" fillId="0" borderId="47" xfId="0" applyFont="1" applyFill="1" applyBorder="1" applyAlignment="1" applyProtection="1">
      <alignment horizontal="center"/>
      <protection locked="0"/>
    </xf>
    <xf numFmtId="0" fontId="12" fillId="0" borderId="46" xfId="0" applyFont="1" applyFill="1" applyBorder="1" applyAlignment="1" applyProtection="1">
      <alignment horizontal="center"/>
      <protection locked="0"/>
    </xf>
    <xf numFmtId="0" fontId="12" fillId="0" borderId="48" xfId="0" applyFont="1" applyFill="1" applyBorder="1" applyAlignment="1" applyProtection="1">
      <alignment horizontal="center"/>
      <protection locked="0"/>
    </xf>
    <xf numFmtId="0" fontId="0" fillId="0" borderId="0" xfId="0" applyProtection="1"/>
    <xf numFmtId="0" fontId="0" fillId="0" borderId="0" xfId="0" applyAlignment="1" applyProtection="1">
      <alignment horizontal="center"/>
    </xf>
    <xf numFmtId="2" fontId="0" fillId="0" borderId="0" xfId="0" applyNumberFormat="1" applyProtection="1"/>
    <xf numFmtId="0" fontId="3" fillId="0" borderId="0" xfId="0" applyFont="1" applyAlignment="1" applyProtection="1">
      <alignment horizontal="left"/>
    </xf>
    <xf numFmtId="0" fontId="0" fillId="0" borderId="4" xfId="0" applyFont="1" applyBorder="1" applyAlignment="1" applyProtection="1">
      <alignment horizontal="right"/>
    </xf>
    <xf numFmtId="0" fontId="1" fillId="0" borderId="0" xfId="0" applyFont="1" applyFill="1" applyBorder="1" applyAlignment="1" applyProtection="1"/>
    <xf numFmtId="0" fontId="0" fillId="0" borderId="1" xfId="0" applyBorder="1" applyProtection="1"/>
    <xf numFmtId="49" fontId="0" fillId="3" borderId="4" xfId="0" applyNumberFormat="1" applyFill="1" applyBorder="1" applyAlignment="1" applyProtection="1">
      <alignment horizontal="center"/>
    </xf>
    <xf numFmtId="49" fontId="10" fillId="3" borderId="5" xfId="0" applyNumberFormat="1" applyFont="1" applyFill="1" applyBorder="1" applyAlignment="1" applyProtection="1">
      <alignment horizontal="center"/>
    </xf>
    <xf numFmtId="49" fontId="0" fillId="3" borderId="39" xfId="0" applyNumberFormat="1" applyFill="1" applyBorder="1" applyAlignment="1" applyProtection="1">
      <alignment horizontal="center"/>
    </xf>
    <xf numFmtId="49" fontId="0" fillId="3" borderId="5" xfId="0" applyNumberFormat="1" applyFill="1" applyBorder="1" applyAlignment="1" applyProtection="1">
      <alignment horizontal="center"/>
    </xf>
    <xf numFmtId="49" fontId="0" fillId="3" borderId="1" xfId="0" applyNumberFormat="1" applyFill="1" applyBorder="1" applyAlignment="1" applyProtection="1">
      <alignment horizontal="center"/>
    </xf>
    <xf numFmtId="49" fontId="0" fillId="0" borderId="0" xfId="0" applyNumberFormat="1" applyFill="1" applyBorder="1" applyAlignment="1" applyProtection="1">
      <alignment horizontal="center"/>
    </xf>
    <xf numFmtId="49" fontId="0" fillId="0" borderId="0" xfId="0" applyNumberFormat="1" applyFill="1" applyBorder="1" applyAlignment="1" applyProtection="1">
      <alignment horizontal="left"/>
    </xf>
    <xf numFmtId="49" fontId="0" fillId="0" borderId="1" xfId="0" applyNumberFormat="1" applyBorder="1" applyAlignment="1" applyProtection="1">
      <alignment horizontal="center"/>
    </xf>
    <xf numFmtId="49" fontId="0" fillId="0"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33" xfId="0" applyBorder="1" applyProtection="1"/>
    <xf numFmtId="0" fontId="10" fillId="0" borderId="17" xfId="0" applyFont="1" applyFill="1" applyBorder="1" applyAlignment="1" applyProtection="1">
      <alignment horizontal="center"/>
    </xf>
    <xf numFmtId="0" fontId="10" fillId="0" borderId="28" xfId="0" applyFont="1" applyFill="1" applyBorder="1" applyAlignment="1" applyProtection="1">
      <alignment horizontal="center"/>
    </xf>
    <xf numFmtId="1" fontId="0" fillId="0" borderId="0" xfId="0" applyNumberFormat="1" applyBorder="1" applyAlignment="1" applyProtection="1">
      <alignment horizontal="center"/>
    </xf>
    <xf numFmtId="0" fontId="0" fillId="0" borderId="10" xfId="0" applyBorder="1" applyProtection="1"/>
    <xf numFmtId="0" fontId="10" fillId="0" borderId="8" xfId="0" applyFont="1" applyFill="1" applyBorder="1" applyAlignment="1" applyProtection="1">
      <alignment horizontal="center"/>
    </xf>
    <xf numFmtId="0" fontId="1" fillId="2" borderId="36" xfId="0" applyFont="1" applyFill="1" applyBorder="1" applyAlignment="1" applyProtection="1">
      <alignment horizontal="center"/>
    </xf>
    <xf numFmtId="0" fontId="0" fillId="4" borderId="0" xfId="0" applyFill="1" applyProtection="1"/>
    <xf numFmtId="0" fontId="1" fillId="0" borderId="36" xfId="0" applyFont="1" applyFill="1" applyBorder="1" applyAlignment="1" applyProtection="1">
      <alignment horizontal="center"/>
    </xf>
    <xf numFmtId="0" fontId="0" fillId="0" borderId="34" xfId="0" applyBorder="1" applyProtection="1"/>
    <xf numFmtId="0" fontId="10" fillId="0" borderId="22" xfId="0" applyFont="1" applyFill="1" applyBorder="1" applyAlignment="1" applyProtection="1">
      <alignment horizontal="center"/>
    </xf>
    <xf numFmtId="0" fontId="1" fillId="0" borderId="37" xfId="0" applyFont="1" applyFill="1" applyBorder="1" applyAlignment="1" applyProtection="1">
      <alignment horizontal="center"/>
    </xf>
    <xf numFmtId="0" fontId="0" fillId="0" borderId="27" xfId="0" applyFont="1" applyBorder="1" applyProtection="1"/>
    <xf numFmtId="0" fontId="1" fillId="2" borderId="38" xfId="0" applyFont="1" applyFill="1" applyBorder="1" applyAlignment="1" applyProtection="1">
      <alignment horizontal="center"/>
    </xf>
    <xf numFmtId="0" fontId="0" fillId="0" borderId="10" xfId="0" applyFont="1" applyBorder="1" applyProtection="1"/>
    <xf numFmtId="0" fontId="0" fillId="0" borderId="9" xfId="0" applyFont="1" applyFill="1" applyBorder="1" applyAlignment="1" applyProtection="1">
      <alignment horizontal="center"/>
    </xf>
    <xf numFmtId="0" fontId="0" fillId="0" borderId="11" xfId="0" applyFont="1" applyFill="1" applyBorder="1" applyAlignment="1" applyProtection="1">
      <alignment horizontal="center"/>
    </xf>
    <xf numFmtId="0" fontId="0" fillId="0" borderId="40" xfId="0" applyFont="1" applyBorder="1" applyProtection="1"/>
    <xf numFmtId="0" fontId="10" fillId="0" borderId="14" xfId="0" applyFont="1" applyFill="1" applyBorder="1" applyAlignment="1" applyProtection="1">
      <alignment horizontal="center"/>
    </xf>
    <xf numFmtId="0" fontId="0" fillId="0" borderId="0" xfId="0" applyNumberFormat="1" applyBorder="1" applyAlignment="1" applyProtection="1">
      <alignment horizontal="center"/>
    </xf>
    <xf numFmtId="2" fontId="0" fillId="0" borderId="0" xfId="0" applyNumberFormat="1" applyBorder="1" applyProtection="1"/>
    <xf numFmtId="0" fontId="0" fillId="0" borderId="22" xfId="0" applyFill="1" applyBorder="1" applyAlignment="1" applyProtection="1">
      <alignment horizontal="center"/>
    </xf>
    <xf numFmtId="0" fontId="16" fillId="0" borderId="6" xfId="0" applyFont="1" applyFill="1" applyBorder="1" applyProtection="1"/>
    <xf numFmtId="0" fontId="0" fillId="0" borderId="1" xfId="0" applyFill="1" applyBorder="1" applyProtection="1"/>
    <xf numFmtId="0" fontId="0" fillId="0" borderId="4" xfId="0" applyBorder="1" applyProtection="1"/>
    <xf numFmtId="0" fontId="0" fillId="0" borderId="7" xfId="0" applyBorder="1" applyProtection="1"/>
    <xf numFmtId="0" fontId="0" fillId="0" borderId="5" xfId="0" applyBorder="1" applyProtection="1"/>
    <xf numFmtId="0" fontId="1" fillId="0" borderId="3"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Border="1" applyAlignment="1" applyProtection="1">
      <alignment horizontal="right"/>
    </xf>
    <xf numFmtId="0" fontId="6" fillId="0" borderId="3"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3" borderId="1" xfId="0" applyFill="1" applyBorder="1" applyProtection="1"/>
    <xf numFmtId="0" fontId="0" fillId="0" borderId="6" xfId="0" applyBorder="1" applyAlignment="1" applyProtection="1"/>
    <xf numFmtId="0" fontId="0" fillId="0" borderId="0" xfId="0" applyBorder="1" applyAlignment="1" applyProtection="1">
      <alignment horizontal="center"/>
    </xf>
    <xf numFmtId="0" fontId="0" fillId="0" borderId="0" xfId="0" applyBorder="1" applyProtection="1"/>
    <xf numFmtId="0" fontId="2" fillId="0" borderId="0" xfId="0" applyFont="1" applyProtection="1"/>
    <xf numFmtId="0" fontId="0" fillId="0" borderId="0" xfId="0" applyBorder="1" applyAlignment="1" applyProtection="1"/>
    <xf numFmtId="0" fontId="0" fillId="4" borderId="1" xfId="0" applyFill="1" applyBorder="1" applyAlignment="1" applyProtection="1">
      <alignment horizontal="center"/>
    </xf>
    <xf numFmtId="49" fontId="0" fillId="0" borderId="4" xfId="0" applyNumberFormat="1" applyFill="1" applyBorder="1" applyAlignment="1" applyProtection="1">
      <alignment horizontal="center"/>
    </xf>
    <xf numFmtId="49" fontId="10" fillId="0" borderId="5" xfId="0" applyNumberFormat="1" applyFont="1" applyFill="1" applyBorder="1" applyAlignment="1" applyProtection="1">
      <alignment horizontal="center"/>
    </xf>
    <xf numFmtId="0" fontId="12" fillId="0" borderId="9" xfId="0" applyFont="1" applyFill="1" applyBorder="1" applyAlignment="1" applyProtection="1">
      <alignment horizontal="center"/>
    </xf>
    <xf numFmtId="0" fontId="0" fillId="0" borderId="0" xfId="0" applyFill="1" applyAlignment="1" applyProtection="1">
      <alignment horizontal="center"/>
    </xf>
    <xf numFmtId="0" fontId="0" fillId="0" borderId="10" xfId="0" applyFill="1" applyBorder="1" applyProtection="1"/>
    <xf numFmtId="0" fontId="12" fillId="0" borderId="11" xfId="0" applyFont="1" applyFill="1" applyBorder="1" applyAlignment="1" applyProtection="1">
      <alignment horizontal="center"/>
    </xf>
    <xf numFmtId="0" fontId="0" fillId="0" borderId="0" xfId="0" applyFill="1" applyProtection="1"/>
    <xf numFmtId="0" fontId="0" fillId="0" borderId="1" xfId="0" applyFill="1" applyBorder="1" applyAlignment="1" applyProtection="1">
      <alignment horizontal="center"/>
    </xf>
    <xf numFmtId="1" fontId="0" fillId="0" borderId="0" xfId="0" applyNumberFormat="1" applyFill="1" applyBorder="1" applyAlignment="1" applyProtection="1">
      <alignment horizontal="center"/>
    </xf>
    <xf numFmtId="0" fontId="0" fillId="0" borderId="54" xfId="0" applyFill="1" applyBorder="1" applyProtection="1"/>
    <xf numFmtId="0" fontId="10" fillId="0" borderId="47" xfId="0" applyFont="1" applyFill="1" applyBorder="1" applyAlignment="1" applyProtection="1">
      <alignment horizontal="center"/>
    </xf>
    <xf numFmtId="0" fontId="1" fillId="0" borderId="51" xfId="0" applyFont="1" applyFill="1" applyBorder="1" applyAlignment="1" applyProtection="1">
      <alignment horizontal="center"/>
    </xf>
    <xf numFmtId="0" fontId="12" fillId="0" borderId="18" xfId="0" applyFont="1" applyFill="1" applyBorder="1" applyAlignment="1" applyProtection="1">
      <alignment horizontal="center"/>
    </xf>
    <xf numFmtId="0" fontId="6" fillId="0" borderId="40" xfId="0" applyFont="1" applyFill="1" applyBorder="1" applyProtection="1"/>
    <xf numFmtId="0" fontId="12" fillId="0" borderId="16" xfId="0" applyFont="1" applyFill="1" applyBorder="1" applyAlignment="1" applyProtection="1">
      <alignment horizontal="center"/>
    </xf>
    <xf numFmtId="0" fontId="12" fillId="0" borderId="15" xfId="0" applyFont="1" applyFill="1" applyBorder="1" applyAlignment="1" applyProtection="1">
      <alignment horizontal="center"/>
    </xf>
    <xf numFmtId="0" fontId="0" fillId="0" borderId="14" xfId="0" applyFill="1" applyBorder="1" applyAlignment="1" applyProtection="1">
      <alignment horizontal="center"/>
    </xf>
    <xf numFmtId="0" fontId="0" fillId="0" borderId="34" xfId="0" applyFill="1" applyBorder="1" applyProtection="1"/>
    <xf numFmtId="2" fontId="0" fillId="0" borderId="0" xfId="0" applyNumberFormat="1" applyFill="1" applyBorder="1" applyProtection="1"/>
    <xf numFmtId="0" fontId="0" fillId="0" borderId="4" xfId="0" applyFill="1" applyBorder="1" applyProtection="1"/>
    <xf numFmtId="0" fontId="0" fillId="0" borderId="1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4" borderId="1" xfId="0" applyFill="1" applyBorder="1" applyProtection="1"/>
    <xf numFmtId="0" fontId="0" fillId="0" borderId="1" xfId="0" applyFont="1" applyBorder="1" applyProtection="1"/>
    <xf numFmtId="0" fontId="0" fillId="4" borderId="4" xfId="0" applyFill="1" applyBorder="1" applyAlignment="1" applyProtection="1">
      <alignment horizontal="center"/>
    </xf>
    <xf numFmtId="0" fontId="0" fillId="0" borderId="0" xfId="0" applyFill="1" applyBorder="1" applyProtection="1"/>
    <xf numFmtId="0" fontId="0" fillId="4" borderId="4" xfId="0" applyFill="1" applyBorder="1" applyProtection="1"/>
    <xf numFmtId="0" fontId="0" fillId="0" borderId="0" xfId="0" applyFont="1" applyFill="1" applyBorder="1" applyProtection="1"/>
    <xf numFmtId="0" fontId="2" fillId="7" borderId="44" xfId="0" applyFont="1" applyFill="1" applyBorder="1" applyAlignment="1" applyProtection="1">
      <alignment horizontal="center"/>
    </xf>
    <xf numFmtId="0" fontId="2" fillId="7" borderId="45" xfId="0" applyFont="1" applyFill="1" applyBorder="1" applyAlignment="1" applyProtection="1">
      <alignment horizontal="center"/>
    </xf>
    <xf numFmtId="0" fontId="0" fillId="0" borderId="4" xfId="0" applyFont="1" applyBorder="1" applyProtection="1"/>
    <xf numFmtId="0" fontId="1" fillId="0" borderId="7" xfId="0" applyFont="1" applyBorder="1" applyAlignment="1" applyProtection="1">
      <alignment horizontal="center"/>
    </xf>
    <xf numFmtId="0" fontId="0" fillId="0" borderId="4" xfId="0" applyBorder="1" applyAlignment="1" applyProtection="1">
      <alignment horizontal="center"/>
    </xf>
    <xf numFmtId="0" fontId="1" fillId="0" borderId="5" xfId="0" applyFont="1" applyBorder="1" applyAlignment="1" applyProtection="1">
      <alignment horizontal="center"/>
    </xf>
    <xf numFmtId="0" fontId="0" fillId="0" borderId="1" xfId="0" applyBorder="1" applyAlignment="1" applyProtection="1">
      <alignment horizontal="center"/>
    </xf>
    <xf numFmtId="0" fontId="19" fillId="0" borderId="0" xfId="0" applyFont="1" applyProtection="1"/>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1" fillId="3" borderId="7" xfId="0" applyFont="1" applyFill="1" applyBorder="1" applyAlignment="1" applyProtection="1">
      <alignment horizontal="center"/>
    </xf>
    <xf numFmtId="0" fontId="0" fillId="3" borderId="4" xfId="0" applyFill="1" applyBorder="1" applyProtection="1"/>
    <xf numFmtId="0" fontId="0" fillId="3" borderId="7" xfId="0" applyFill="1" applyBorder="1" applyProtection="1"/>
    <xf numFmtId="0" fontId="1" fillId="3" borderId="4" xfId="0" applyFont="1" applyFill="1" applyBorder="1" applyProtection="1"/>
    <xf numFmtId="0" fontId="1" fillId="3" borderId="7" xfId="0" applyFont="1" applyFill="1" applyBorder="1" applyProtection="1"/>
    <xf numFmtId="0" fontId="0" fillId="0" borderId="5" xfId="0" applyBorder="1" applyAlignment="1" applyProtection="1">
      <alignment horizontal="center"/>
    </xf>
    <xf numFmtId="0" fontId="20" fillId="3" borderId="22" xfId="0" applyFont="1" applyFill="1" applyBorder="1" applyAlignment="1" applyProtection="1">
      <alignment horizontal="center"/>
    </xf>
    <xf numFmtId="2" fontId="0" fillId="0" borderId="0" xfId="0" applyNumberFormat="1" applyFill="1" applyBorder="1" applyAlignment="1" applyProtection="1">
      <alignment horizontal="left"/>
    </xf>
    <xf numFmtId="1" fontId="0" fillId="0" borderId="1" xfId="0" applyNumberFormat="1" applyBorder="1" applyAlignment="1" applyProtection="1">
      <alignment horizontal="center"/>
    </xf>
    <xf numFmtId="1" fontId="1" fillId="0" borderId="0" xfId="0" applyNumberFormat="1" applyFont="1" applyBorder="1" applyAlignment="1" applyProtection="1">
      <alignment horizontal="center"/>
    </xf>
    <xf numFmtId="0" fontId="0" fillId="0" borderId="0" xfId="0" applyNumberFormat="1" applyAlignment="1" applyProtection="1">
      <alignment horizontal="center"/>
    </xf>
    <xf numFmtId="0" fontId="0" fillId="0" borderId="1" xfId="0" applyBorder="1" applyAlignment="1" applyProtection="1">
      <alignment horizontal="center"/>
    </xf>
    <xf numFmtId="0" fontId="1" fillId="0" borderId="5" xfId="0" applyFont="1" applyBorder="1" applyAlignment="1" applyProtection="1">
      <alignment horizontal="center"/>
    </xf>
    <xf numFmtId="0" fontId="0" fillId="0" borderId="0" xfId="0" applyAlignment="1" applyProtection="1">
      <alignment horizontal="right"/>
    </xf>
    <xf numFmtId="165" fontId="0" fillId="0" borderId="0" xfId="1" applyNumberFormat="1" applyFont="1" applyAlignment="1" applyProtection="1">
      <alignment horizontal="center"/>
    </xf>
    <xf numFmtId="0" fontId="5" fillId="0" borderId="1" xfId="0" applyFont="1" applyBorder="1" applyAlignment="1" applyProtection="1">
      <alignment horizontal="right" wrapText="1"/>
    </xf>
    <xf numFmtId="0" fontId="0" fillId="0" borderId="55" xfId="0" applyBorder="1" applyAlignment="1" applyProtection="1">
      <alignment horizontal="right"/>
    </xf>
    <xf numFmtId="0" fontId="0" fillId="0" borderId="56" xfId="0" applyBorder="1" applyAlignment="1" applyProtection="1">
      <alignment horizontal="center"/>
    </xf>
    <xf numFmtId="0" fontId="0" fillId="0" borderId="56" xfId="0" applyBorder="1" applyProtection="1"/>
    <xf numFmtId="0" fontId="0" fillId="0" borderId="58" xfId="0" applyBorder="1" applyAlignment="1" applyProtection="1">
      <alignment horizontal="right"/>
    </xf>
    <xf numFmtId="0" fontId="0" fillId="0" borderId="59" xfId="0" applyBorder="1" applyAlignment="1" applyProtection="1">
      <alignment horizontal="center"/>
    </xf>
    <xf numFmtId="0" fontId="1" fillId="0" borderId="58" xfId="0" applyFont="1" applyBorder="1" applyAlignment="1" applyProtection="1">
      <alignment horizontal="right"/>
    </xf>
    <xf numFmtId="0" fontId="0" fillId="0" borderId="61" xfId="0" applyBorder="1" applyAlignment="1" applyProtection="1">
      <alignment horizontal="center"/>
    </xf>
    <xf numFmtId="49" fontId="5" fillId="0" borderId="1" xfId="0" applyNumberFormat="1" applyFont="1" applyBorder="1" applyAlignment="1" applyProtection="1">
      <alignment horizontal="right"/>
    </xf>
    <xf numFmtId="0" fontId="1" fillId="3" borderId="1" xfId="0" applyFont="1" applyFill="1" applyBorder="1" applyAlignment="1" applyProtection="1">
      <alignment horizontal="center"/>
    </xf>
    <xf numFmtId="49" fontId="5" fillId="0" borderId="0" xfId="0" applyNumberFormat="1" applyFont="1" applyBorder="1" applyProtection="1"/>
    <xf numFmtId="0" fontId="0" fillId="0" borderId="0" xfId="0" applyBorder="1" applyAlignment="1" applyProtection="1">
      <alignment horizontal="right"/>
    </xf>
    <xf numFmtId="0" fontId="0" fillId="0" borderId="60" xfId="0" applyBorder="1" applyAlignment="1" applyProtection="1">
      <alignment horizontal="right"/>
    </xf>
    <xf numFmtId="0" fontId="0" fillId="0" borderId="61" xfId="0" applyFill="1" applyBorder="1" applyAlignment="1" applyProtection="1">
      <alignment horizontal="center"/>
    </xf>
    <xf numFmtId="0" fontId="0" fillId="0" borderId="62" xfId="0" applyFill="1" applyBorder="1" applyAlignment="1" applyProtection="1">
      <alignment horizontal="center"/>
    </xf>
    <xf numFmtId="0" fontId="1" fillId="0" borderId="0" xfId="0" applyFont="1" applyAlignment="1" applyProtection="1"/>
    <xf numFmtId="0" fontId="0" fillId="0" borderId="1" xfId="0" applyBorder="1" applyAlignment="1" applyProtection="1">
      <alignment horizontal="center"/>
    </xf>
    <xf numFmtId="0" fontId="0" fillId="3" borderId="7" xfId="0" applyFill="1" applyBorder="1" applyAlignment="1" applyProtection="1">
      <alignment horizontal="center"/>
    </xf>
    <xf numFmtId="0" fontId="0" fillId="3" borderId="5" xfId="0" applyFill="1" applyBorder="1" applyAlignment="1" applyProtection="1">
      <alignment horizontal="center"/>
    </xf>
    <xf numFmtId="0" fontId="1" fillId="0" borderId="65" xfId="0" applyFont="1" applyBorder="1" applyAlignment="1" applyProtection="1">
      <alignment horizontal="right"/>
    </xf>
    <xf numFmtId="0" fontId="1" fillId="0" borderId="66" xfId="0" applyFont="1" applyBorder="1" applyAlignment="1" applyProtection="1">
      <alignment horizontal="center"/>
    </xf>
    <xf numFmtId="0" fontId="1" fillId="0" borderId="64" xfId="0" applyFont="1" applyBorder="1" applyAlignment="1" applyProtection="1"/>
    <xf numFmtId="0" fontId="1" fillId="0" borderId="67" xfId="0" applyFont="1" applyBorder="1" applyAlignment="1" applyProtection="1"/>
    <xf numFmtId="0" fontId="0" fillId="3" borderId="55" xfId="0" applyFill="1" applyBorder="1" applyProtection="1"/>
    <xf numFmtId="0" fontId="0" fillId="0" borderId="59" xfId="0" applyFill="1" applyBorder="1" applyAlignment="1" applyProtection="1">
      <alignment horizontal="center"/>
    </xf>
    <xf numFmtId="0" fontId="0" fillId="0" borderId="4" xfId="0" applyBorder="1" applyAlignment="1" applyProtection="1"/>
    <xf numFmtId="0" fontId="0" fillId="0" borderId="55" xfId="0" applyFill="1" applyBorder="1" applyProtection="1"/>
    <xf numFmtId="0" fontId="0" fillId="0" borderId="68" xfId="0" applyBorder="1" applyAlignment="1" applyProtection="1"/>
    <xf numFmtId="0" fontId="0" fillId="0" borderId="70" xfId="0" applyBorder="1" applyAlignment="1" applyProtection="1">
      <alignment horizontal="center"/>
    </xf>
    <xf numFmtId="0" fontId="1" fillId="0" borderId="71" xfId="0" applyFont="1" applyBorder="1" applyAlignment="1" applyProtection="1">
      <alignment horizontal="center"/>
    </xf>
    <xf numFmtId="0" fontId="0" fillId="0" borderId="58" xfId="0" applyFill="1" applyBorder="1" applyProtection="1"/>
    <xf numFmtId="0" fontId="0" fillId="0" borderId="71" xfId="0" applyBorder="1" applyProtection="1"/>
    <xf numFmtId="0" fontId="0" fillId="0" borderId="73" xfId="0" applyBorder="1" applyProtection="1"/>
    <xf numFmtId="0" fontId="13" fillId="0" borderId="0" xfId="0" applyFont="1" applyAlignment="1" applyProtection="1"/>
    <xf numFmtId="0" fontId="1" fillId="0" borderId="5" xfId="0" applyFont="1" applyBorder="1" applyAlignment="1" applyProtection="1">
      <alignment horizontal="center"/>
    </xf>
    <xf numFmtId="0" fontId="1" fillId="0" borderId="7" xfId="0" applyFont="1"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4" xfId="0" applyBorder="1" applyAlignment="1" applyProtection="1">
      <alignment horizontal="center"/>
    </xf>
    <xf numFmtId="0" fontId="21" fillId="0" borderId="0" xfId="0" applyFont="1" applyFill="1" applyBorder="1" applyAlignment="1" applyProtection="1">
      <alignment horizontal="center"/>
    </xf>
    <xf numFmtId="0" fontId="1" fillId="0" borderId="7" xfId="0" applyFont="1" applyBorder="1" applyAlignment="1" applyProtection="1">
      <alignment horizontal="center"/>
    </xf>
    <xf numFmtId="0" fontId="1" fillId="0" borderId="5" xfId="0" applyFont="1"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1" fillId="0" borderId="7" xfId="0" applyFont="1" applyBorder="1" applyAlignment="1" applyProtection="1">
      <alignment horizontal="center"/>
    </xf>
    <xf numFmtId="0" fontId="1" fillId="0" borderId="5" xfId="0" applyFont="1" applyBorder="1" applyAlignment="1" applyProtection="1">
      <alignment horizontal="center"/>
    </xf>
    <xf numFmtId="0" fontId="21" fillId="0" borderId="0" xfId="0" applyFont="1" applyFill="1" applyBorder="1" applyAlignment="1" applyProtection="1">
      <alignment horizontal="center"/>
    </xf>
    <xf numFmtId="0" fontId="12" fillId="5" borderId="4" xfId="0" applyFont="1" applyFill="1" applyBorder="1" applyAlignment="1" applyProtection="1">
      <alignment horizontal="center"/>
      <protection locked="0"/>
    </xf>
    <xf numFmtId="0" fontId="10" fillId="0" borderId="5" xfId="0" applyFont="1" applyFill="1" applyBorder="1" applyAlignment="1" applyProtection="1">
      <alignment horizontal="center"/>
    </xf>
    <xf numFmtId="0" fontId="21" fillId="0" borderId="7" xfId="0" applyFont="1" applyFill="1" applyBorder="1" applyAlignment="1" applyProtection="1">
      <alignment horizontal="center"/>
    </xf>
    <xf numFmtId="0" fontId="0" fillId="0" borderId="1" xfId="0" applyBorder="1" applyAlignment="1" applyProtection="1">
      <alignment horizontal="center"/>
    </xf>
    <xf numFmtId="0" fontId="0" fillId="8" borderId="1" xfId="0" applyFill="1" applyBorder="1" applyProtection="1"/>
    <xf numFmtId="0" fontId="0" fillId="8" borderId="4" xfId="0" applyFill="1" applyBorder="1" applyProtection="1"/>
    <xf numFmtId="0" fontId="1" fillId="4" borderId="1" xfId="0" applyFont="1" applyFill="1" applyBorder="1" applyAlignment="1" applyProtection="1">
      <alignment horizontal="right"/>
    </xf>
    <xf numFmtId="0" fontId="0" fillId="0" borderId="1" xfId="0" applyBorder="1" applyAlignment="1" applyProtection="1">
      <alignment horizontal="center"/>
    </xf>
    <xf numFmtId="0" fontId="1" fillId="0" borderId="0" xfId="0" applyFont="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5" xfId="0" applyBorder="1" applyAlignment="1" applyProtection="1">
      <alignment horizontal="center"/>
    </xf>
    <xf numFmtId="0" fontId="0" fillId="5" borderId="1" xfId="0" applyFill="1" applyBorder="1" applyAlignment="1" applyProtection="1">
      <alignment horizontal="center"/>
      <protection locked="0"/>
    </xf>
    <xf numFmtId="166" fontId="0" fillId="0" borderId="1" xfId="0" applyNumberFormat="1" applyBorder="1" applyAlignment="1" applyProtection="1">
      <alignment horizontal="center"/>
    </xf>
    <xf numFmtId="1" fontId="0" fillId="0" borderId="4" xfId="0" applyNumberFormat="1" applyBorder="1" applyAlignment="1" applyProtection="1">
      <alignment horizontal="center"/>
    </xf>
    <xf numFmtId="49" fontId="0" fillId="0" borderId="1" xfId="0" applyNumberFormat="1" applyFill="1" applyBorder="1" applyAlignment="1" applyProtection="1">
      <alignment horizontal="left"/>
    </xf>
    <xf numFmtId="0" fontId="14" fillId="0" borderId="0" xfId="0" applyFont="1" applyFill="1" applyAlignment="1" applyProtection="1">
      <alignment horizontal="center"/>
    </xf>
    <xf numFmtId="49" fontId="0" fillId="0" borderId="5" xfId="0" applyNumberFormat="1" applyFill="1" applyBorder="1" applyAlignment="1" applyProtection="1">
      <alignment horizontal="left"/>
    </xf>
    <xf numFmtId="2" fontId="0" fillId="0" borderId="1" xfId="0" applyNumberFormat="1" applyFill="1" applyBorder="1" applyAlignment="1" applyProtection="1">
      <alignment horizontal="center"/>
    </xf>
    <xf numFmtId="2" fontId="0" fillId="0" borderId="1" xfId="0" applyNumberFormat="1" applyFill="1" applyBorder="1" applyAlignment="1" applyProtection="1">
      <alignment horizontal="left"/>
    </xf>
    <xf numFmtId="1" fontId="0" fillId="0" borderId="1" xfId="0" applyNumberFormat="1" applyFill="1" applyBorder="1" applyAlignment="1" applyProtection="1">
      <alignment horizontal="center"/>
    </xf>
    <xf numFmtId="0" fontId="0" fillId="0" borderId="1" xfId="0" applyBorder="1" applyAlignment="1" applyProtection="1">
      <alignment horizontal="center"/>
    </xf>
    <xf numFmtId="0" fontId="1" fillId="2" borderId="1" xfId="0" applyFont="1" applyFill="1" applyBorder="1" applyAlignment="1" applyProtection="1">
      <alignment horizontal="center"/>
    </xf>
    <xf numFmtId="0" fontId="0" fillId="0" borderId="59" xfId="0" applyBorder="1" applyProtection="1"/>
    <xf numFmtId="0" fontId="1" fillId="4" borderId="58" xfId="0" applyFont="1" applyFill="1" applyBorder="1" applyAlignment="1" applyProtection="1">
      <alignment horizontal="right"/>
    </xf>
    <xf numFmtId="0" fontId="0" fillId="3" borderId="58" xfId="0" applyFill="1" applyBorder="1" applyProtection="1"/>
    <xf numFmtId="0" fontId="0" fillId="0" borderId="58" xfId="0" applyBorder="1" applyAlignment="1" applyProtection="1">
      <alignment horizontal="center"/>
    </xf>
    <xf numFmtId="0" fontId="0" fillId="3" borderId="56" xfId="0" applyFill="1" applyBorder="1" applyAlignment="1" applyProtection="1">
      <alignment horizontal="center"/>
    </xf>
    <xf numFmtId="0" fontId="0" fillId="3" borderId="57" xfId="0" applyFill="1" applyBorder="1" applyAlignment="1" applyProtection="1">
      <alignment horizontal="center"/>
    </xf>
    <xf numFmtId="0" fontId="1" fillId="0" borderId="0" xfId="0" applyFont="1" applyAlignment="1" applyProtection="1">
      <alignment horizontal="center"/>
    </xf>
    <xf numFmtId="0" fontId="0" fillId="0" borderId="1" xfId="0" applyBorder="1" applyAlignment="1" applyProtection="1">
      <alignment horizontal="center" vertic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1" fillId="0" borderId="4" xfId="0" applyFont="1" applyBorder="1" applyAlignment="1" applyProtection="1">
      <alignment horizontal="center"/>
    </xf>
    <xf numFmtId="0" fontId="1" fillId="0" borderId="7" xfId="0" applyFont="1" applyBorder="1" applyAlignment="1" applyProtection="1">
      <alignment horizontal="center"/>
    </xf>
    <xf numFmtId="164" fontId="10" fillId="3" borderId="4" xfId="0" applyNumberFormat="1" applyFont="1" applyFill="1" applyBorder="1" applyAlignment="1" applyProtection="1">
      <alignment horizontal="center"/>
    </xf>
    <xf numFmtId="164" fontId="10" fillId="3" borderId="7" xfId="0" applyNumberFormat="1" applyFont="1" applyFill="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0" fillId="3" borderId="1" xfId="0" applyFill="1" applyBorder="1" applyAlignment="1" applyProtection="1">
      <alignment horizontal="center"/>
    </xf>
    <xf numFmtId="0" fontId="13" fillId="0" borderId="0" xfId="0" applyFont="1" applyAlignment="1" applyProtection="1">
      <alignment horizontal="left"/>
    </xf>
    <xf numFmtId="0" fontId="18" fillId="0" borderId="46" xfId="0" applyFont="1" applyBorder="1" applyAlignment="1" applyProtection="1">
      <alignment horizontal="center" vertical="center"/>
      <protection locked="0"/>
    </xf>
    <xf numFmtId="22" fontId="15" fillId="0" borderId="0" xfId="0" applyNumberFormat="1" applyFont="1" applyAlignment="1" applyProtection="1">
      <alignment horizontal="center"/>
    </xf>
    <xf numFmtId="0" fontId="1" fillId="6" borderId="4"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17" fillId="0" borderId="0" xfId="0" applyFont="1" applyBorder="1" applyAlignment="1" applyProtection="1">
      <alignment horizontal="center"/>
    </xf>
    <xf numFmtId="0" fontId="17" fillId="0" borderId="0" xfId="0" applyFont="1" applyAlignment="1" applyProtection="1">
      <alignment horizontal="center"/>
    </xf>
    <xf numFmtId="0" fontId="9" fillId="0" borderId="0" xfId="0" applyFont="1" applyBorder="1" applyAlignment="1" applyProtection="1">
      <alignment horizontal="center"/>
    </xf>
    <xf numFmtId="0" fontId="0" fillId="5" borderId="33" xfId="0" applyFill="1" applyBorder="1" applyAlignment="1" applyProtection="1">
      <alignment horizontal="center"/>
      <protection locked="0"/>
    </xf>
    <xf numFmtId="0" fontId="14" fillId="0" borderId="0" xfId="0" applyFont="1" applyBorder="1" applyAlignment="1" applyProtection="1">
      <alignment horizontal="center"/>
    </xf>
    <xf numFmtId="0" fontId="21" fillId="0" borderId="0" xfId="0" applyFont="1" applyFill="1" applyBorder="1" applyAlignment="1" applyProtection="1">
      <alignment horizontal="center"/>
    </xf>
    <xf numFmtId="0" fontId="18" fillId="0" borderId="46" xfId="0" applyFont="1" applyBorder="1" applyAlignment="1" applyProtection="1">
      <alignment horizontal="center"/>
      <protection locked="0"/>
    </xf>
    <xf numFmtId="0" fontId="0" fillId="0" borderId="68" xfId="0" applyBorder="1" applyAlignment="1" applyProtection="1">
      <alignment horizontal="center"/>
    </xf>
    <xf numFmtId="0" fontId="0" fillId="0" borderId="69" xfId="0" applyBorder="1" applyAlignment="1" applyProtection="1">
      <alignment horizontal="center"/>
    </xf>
    <xf numFmtId="0" fontId="1" fillId="0" borderId="63" xfId="0" applyFont="1" applyBorder="1" applyAlignment="1" applyProtection="1">
      <alignment horizontal="center"/>
    </xf>
    <xf numFmtId="0" fontId="1" fillId="0" borderId="61" xfId="0" applyFont="1" applyBorder="1" applyAlignment="1" applyProtection="1">
      <alignment horizontal="center"/>
    </xf>
    <xf numFmtId="0" fontId="1" fillId="0" borderId="72" xfId="0" applyFont="1" applyBorder="1" applyAlignment="1" applyProtection="1">
      <alignment horizontal="center"/>
    </xf>
    <xf numFmtId="0" fontId="0" fillId="0" borderId="61" xfId="0" applyBorder="1" applyAlignment="1" applyProtection="1">
      <alignment horizontal="center"/>
    </xf>
    <xf numFmtId="0" fontId="0" fillId="5" borderId="1" xfId="0" applyFill="1" applyBorder="1" applyAlignment="1" applyProtection="1">
      <alignment horizontal="center"/>
      <protection locked="0"/>
    </xf>
    <xf numFmtId="0" fontId="0" fillId="0" borderId="56" xfId="0" applyBorder="1" applyAlignment="1" applyProtection="1">
      <alignment horizontal="center"/>
    </xf>
    <xf numFmtId="0" fontId="0" fillId="0" borderId="71" xfId="0" applyBorder="1" applyAlignment="1" applyProtection="1">
      <alignment horizontal="center"/>
    </xf>
    <xf numFmtId="164" fontId="10" fillId="3" borderId="1" xfId="0" applyNumberFormat="1" applyFont="1" applyFill="1" applyBorder="1" applyAlignment="1" applyProtection="1">
      <alignment horizontal="center"/>
    </xf>
    <xf numFmtId="0" fontId="0" fillId="3" borderId="59" xfId="0" applyFill="1" applyBorder="1" applyAlignment="1" applyProtection="1">
      <alignment horizontal="center"/>
    </xf>
    <xf numFmtId="0" fontId="0" fillId="0" borderId="74" xfId="0" applyBorder="1" applyAlignment="1" applyProtection="1">
      <alignment horizontal="center"/>
    </xf>
    <xf numFmtId="0" fontId="0" fillId="0" borderId="1" xfId="0" applyFont="1" applyBorder="1" applyAlignment="1" applyProtection="1">
      <alignment horizontal="center"/>
    </xf>
    <xf numFmtId="0" fontId="0" fillId="0" borderId="59" xfId="0" applyFont="1" applyBorder="1" applyAlignment="1" applyProtection="1">
      <alignment horizontal="center"/>
    </xf>
    <xf numFmtId="2" fontId="0" fillId="0" borderId="1" xfId="0" applyNumberFormat="1" applyFont="1" applyBorder="1" applyAlignment="1" applyProtection="1">
      <alignment horizontal="center"/>
    </xf>
    <xf numFmtId="2" fontId="0" fillId="0" borderId="59" xfId="0" applyNumberFormat="1" applyFont="1" applyBorder="1" applyAlignment="1" applyProtection="1">
      <alignment horizontal="center"/>
    </xf>
    <xf numFmtId="0" fontId="0" fillId="0" borderId="5" xfId="0" applyBorder="1" applyAlignment="1" applyProtection="1">
      <alignment horizontal="center"/>
    </xf>
  </cellXfs>
  <cellStyles count="2">
    <cellStyle name="Komma" xfId="1" builtinId="3"/>
    <cellStyle name="Standard" xfId="0" builtinId="0"/>
  </cellStyles>
  <dxfs count="264">
    <dxf>
      <font>
        <b/>
        <i val="0"/>
        <color theme="0"/>
      </font>
      <fill>
        <patternFill>
          <bgColor rgb="FFFF0000"/>
        </patternFill>
      </fill>
    </dxf>
    <dxf>
      <font>
        <color auto="1"/>
      </font>
      <fill>
        <patternFill>
          <bgColor theme="9"/>
        </patternFill>
      </fill>
    </dxf>
    <dxf>
      <font>
        <color theme="0"/>
      </font>
      <fill>
        <patternFill>
          <bgColor rgb="FFFF0000"/>
        </patternFill>
      </fill>
    </dxf>
    <dxf>
      <font>
        <b/>
        <i val="0"/>
        <color auto="1"/>
      </font>
      <fill>
        <patternFill>
          <bgColor rgb="FF92D050"/>
        </patternFill>
      </fill>
    </dxf>
    <dxf>
      <font>
        <b/>
        <i val="0"/>
        <color auto="1"/>
      </font>
      <fill>
        <patternFill>
          <bgColor rgb="FF92D050"/>
        </patternFill>
      </fill>
    </dxf>
    <dxf>
      <fill>
        <patternFill>
          <bgColor rgb="FFFF0000"/>
        </patternFill>
      </fill>
    </dxf>
    <dxf>
      <fill>
        <patternFill>
          <bgColor rgb="FFCCEA36"/>
        </patternFill>
      </fill>
    </dxf>
    <dxf>
      <fill>
        <patternFill>
          <bgColor rgb="FFCCEA36"/>
        </patternFill>
      </fill>
    </dxf>
    <dxf>
      <font>
        <b/>
        <i val="0"/>
        <color theme="0" tint="-0.34998626667073579"/>
      </font>
    </dxf>
    <dxf>
      <fill>
        <patternFill>
          <bgColor rgb="FF92D050"/>
        </patternFill>
      </fill>
    </dxf>
    <dxf>
      <font>
        <color theme="0"/>
      </font>
      <fill>
        <patternFill>
          <bgColor rgb="FFFF0000"/>
        </patternFill>
      </fill>
    </dxf>
    <dxf>
      <font>
        <b/>
        <i val="0"/>
        <color auto="1"/>
      </font>
      <fill>
        <patternFill>
          <bgColor rgb="FF92D050"/>
        </patternFill>
      </fill>
    </dxf>
    <dxf>
      <font>
        <color theme="0" tint="-0.499984740745262"/>
      </font>
      <fill>
        <patternFill>
          <bgColor theme="0" tint="-0.14996795556505021"/>
        </patternFill>
      </fill>
    </dxf>
    <dxf>
      <font>
        <color auto="1"/>
      </font>
      <fill>
        <patternFill>
          <bgColor theme="9"/>
        </patternFill>
      </fill>
    </dxf>
    <dxf>
      <font>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1"/>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CCEA36"/>
        </patternFill>
      </fill>
    </dxf>
    <dxf>
      <fill>
        <patternFill>
          <bgColor rgb="FFCCEA36"/>
        </patternFill>
      </fill>
    </dxf>
    <dxf>
      <font>
        <b/>
        <i val="0"/>
        <color theme="0" tint="-0.34998626667073579"/>
      </font>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ill>
        <patternFill>
          <bgColor rgb="FF92D050"/>
        </patternFill>
      </fill>
    </dxf>
    <dxf>
      <font>
        <color theme="0"/>
      </font>
      <fill>
        <patternFill>
          <bgColor rgb="FFFF0000"/>
        </patternFill>
      </fill>
    </dxf>
    <dxf>
      <font>
        <b/>
        <i val="0"/>
        <color auto="1"/>
      </font>
      <fill>
        <patternFill>
          <bgColor rgb="FF92D050"/>
        </patternFill>
      </fill>
    </dxf>
    <dxf>
      <font>
        <color theme="0" tint="-0.499984740745262"/>
      </font>
      <fill>
        <patternFill>
          <bgColor theme="0" tint="-0.14996795556505021"/>
        </patternFill>
      </fill>
    </dxf>
    <dxf>
      <font>
        <color auto="1"/>
      </font>
      <fill>
        <patternFill>
          <bgColor theme="9"/>
        </patternFill>
      </fill>
    </dxf>
    <dxf>
      <font>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1"/>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CCEA36"/>
        </patternFill>
      </fill>
    </dxf>
    <dxf>
      <fill>
        <patternFill>
          <bgColor rgb="FFCCEA36"/>
        </patternFill>
      </fill>
    </dxf>
    <dxf>
      <fill>
        <patternFill>
          <bgColor rgb="FF92D050"/>
        </patternFill>
      </fill>
    </dxf>
    <dxf>
      <font>
        <color theme="0"/>
      </font>
      <fill>
        <patternFill>
          <bgColor rgb="FFFF0000"/>
        </patternFill>
      </fill>
    </dxf>
    <dxf>
      <font>
        <b/>
        <i val="0"/>
        <color auto="1"/>
      </font>
      <fill>
        <patternFill>
          <bgColor rgb="FF92D050"/>
        </patternFill>
      </fill>
    </dxf>
    <dxf>
      <font>
        <color theme="0" tint="-0.499984740745262"/>
      </font>
      <fill>
        <patternFill>
          <bgColor theme="0" tint="-0.14996795556505021"/>
        </patternFill>
      </fill>
    </dxf>
    <dxf>
      <font>
        <color auto="1"/>
      </font>
      <fill>
        <patternFill>
          <bgColor theme="9"/>
        </patternFill>
      </fill>
    </dxf>
    <dxf>
      <font>
        <color theme="0"/>
      </font>
      <fill>
        <patternFill>
          <bgColor rgb="FFFF0000"/>
        </patternFill>
      </fill>
    </dxf>
    <dxf>
      <font>
        <b/>
        <i val="0"/>
        <color theme="1"/>
      </font>
      <fill>
        <patternFill>
          <bgColor rgb="FF92D050"/>
        </patternFill>
      </fill>
    </dxf>
    <dxf>
      <font>
        <b/>
        <i val="0"/>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1"/>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b/>
        <i val="0"/>
      </font>
      <fill>
        <patternFill>
          <bgColor rgb="FF92D050"/>
        </patternFill>
      </fill>
    </dxf>
    <dxf>
      <font>
        <b/>
        <i val="0"/>
        <color theme="0"/>
      </font>
      <fill>
        <patternFill>
          <bgColor rgb="FFFF0000"/>
        </patternFill>
      </fill>
    </dxf>
    <dxf>
      <font>
        <color auto="1"/>
      </font>
      <fill>
        <patternFill>
          <bgColor theme="9"/>
        </patternFill>
      </fill>
    </dxf>
    <dxf>
      <font>
        <color theme="0"/>
      </font>
      <fill>
        <patternFill>
          <bgColor rgb="FFFF0000"/>
        </patternFill>
      </fill>
    </dxf>
    <dxf>
      <font>
        <b/>
        <i val="0"/>
        <color theme="0"/>
      </font>
      <fill>
        <patternFill>
          <bgColor rgb="FFFF0000"/>
        </patternFill>
      </fill>
    </dxf>
    <dxf>
      <font>
        <b/>
        <i val="0"/>
        <color theme="0" tint="-0.34998626667073579"/>
      </font>
    </dxf>
    <dxf>
      <font>
        <b/>
        <i val="0"/>
        <color theme="0" tint="-0.34998626667073579"/>
      </font>
    </dxf>
    <dxf>
      <font>
        <b/>
        <i val="0"/>
        <color theme="0" tint="-0.34998626667073579"/>
      </font>
    </dxf>
    <dxf>
      <font>
        <b/>
        <i val="0"/>
      </font>
      <fill>
        <patternFill>
          <bgColor rgb="FF92D050"/>
        </patternFill>
      </fill>
    </dxf>
    <dxf>
      <font>
        <b/>
        <i val="0"/>
        <color theme="0"/>
      </font>
      <fill>
        <patternFill>
          <bgColor rgb="FFFF000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b/>
        <i val="0"/>
        <color auto="1"/>
      </font>
      <fill>
        <patternFill>
          <bgColor rgb="FF92D050"/>
        </patternFill>
      </fill>
    </dxf>
    <dxf>
      <font>
        <color theme="0" tint="-0.499984740745262"/>
      </font>
      <fill>
        <patternFill>
          <bgColor theme="0" tint="-0.14996795556505021"/>
        </patternFill>
      </fill>
    </dxf>
    <dxf>
      <font>
        <color theme="0" tint="-0.499984740745262"/>
      </font>
    </dxf>
    <dxf>
      <font>
        <b/>
        <i val="0"/>
      </font>
    </dxf>
    <dxf>
      <font>
        <color theme="0" tint="-0.499984740745262"/>
      </font>
    </dxf>
    <dxf>
      <font>
        <b/>
        <i val="0"/>
      </font>
    </dxf>
    <dxf>
      <font>
        <color auto="1"/>
      </font>
      <fill>
        <patternFill>
          <bgColor theme="9"/>
        </patternFill>
      </fill>
    </dxf>
    <dxf>
      <font>
        <color theme="0"/>
      </font>
      <fill>
        <patternFill>
          <bgColor rgb="FFFF000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CCEA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16</xdr:col>
      <xdr:colOff>152400</xdr:colOff>
      <xdr:row>0</xdr:row>
      <xdr:rowOff>85724</xdr:rowOff>
    </xdr:from>
    <xdr:to>
      <xdr:col>22</xdr:col>
      <xdr:colOff>714375</xdr:colOff>
      <xdr:row>36</xdr:row>
      <xdr:rowOff>57149</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52400" y="85724"/>
          <a:ext cx="5591175" cy="7191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800"/>
            <a:t>Das Programm dient</a:t>
          </a:r>
          <a:r>
            <a:rPr lang="de-DE" sz="1800" baseline="0"/>
            <a:t> dazu, Schüler und Lehrer auf die neue Prüfungsordnung an der beruflichen Oberschule ab dem Schuljahr 2018/19 vorzubereiten und eigene Situationen, insbesondere den eigenen Streichvorschlag zu erstellen.</a:t>
          </a:r>
        </a:p>
        <a:p>
          <a:pPr algn="l"/>
          <a:endParaRPr lang="de-DE" sz="1800" baseline="0"/>
        </a:p>
        <a:p>
          <a:pPr algn="l"/>
          <a:r>
            <a:rPr lang="de-DE" sz="1800" baseline="0"/>
            <a:t>In den Arbeitsblättern sind bereits Noten eingetragen und einige Noten durch ein nebengestelltes x gestrichen. Es können damit verschiedene Strategien beim Streichen von Noten durchgespielt werden. Zudem können dann Noten für die schriftlichen Prüfungen eingetragen werden und die Auswirkungen eventueller mündlicher Prüfungen simuliert werden.</a:t>
          </a:r>
        </a:p>
        <a:p>
          <a:pPr algn="l"/>
          <a:endParaRPr lang="de-DE" sz="1800" baseline="0"/>
        </a:p>
        <a:p>
          <a:pPr algn="l"/>
          <a:r>
            <a:rPr lang="de-DE" sz="1800" baseline="0"/>
            <a:t>In den Arbeitsblättern können von den Schülern die eigenen Noten eingetragen werden. In der Woche vor den Prüfungen erhalten die Schüler die letzten Halbjahresergebnisse (HJE) und einen Streichvorschlag von der Schule. Dieser kann mit dem Programm analysiert  und mögliche Änderungen vom Schüler bei der offiziellen Notenbekanntgabe erklärt werden.</a:t>
          </a:r>
        </a:p>
        <a:p>
          <a:pPr algn="l"/>
          <a:endParaRPr lang="de-DE" sz="1800" baseline="0"/>
        </a:p>
        <a:p>
          <a:pPr algn="l"/>
          <a:r>
            <a:rPr lang="de-DE" sz="1800" baseline="0"/>
            <a:t>Hinweis: Beim Start des Programms müssen Makros aktiviert werden.</a:t>
          </a:r>
          <a:endParaRPr lang="de-DE" sz="1800"/>
        </a:p>
      </xdr:txBody>
    </xdr:sp>
    <xdr:clientData/>
  </xdr:twoCellAnchor>
  <xdr:oneCellAnchor>
    <xdr:from>
      <xdr:col>23</xdr:col>
      <xdr:colOff>133350</xdr:colOff>
      <xdr:row>0</xdr:row>
      <xdr:rowOff>95248</xdr:rowOff>
    </xdr:from>
    <xdr:ext cx="6559744" cy="7191377"/>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000750" y="95248"/>
          <a:ext cx="6559744" cy="7191377"/>
        </a:xfrm>
        <a:prstGeom prst="rect">
          <a:avLst/>
        </a:prstGeom>
        <a:solidFill>
          <a:schemeClr val="accent4">
            <a:lumMod val="20000"/>
            <a:lumOff val="80000"/>
          </a:schemeClr>
        </a:solid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1800"/>
            <a:t>Neuerungen:</a:t>
          </a:r>
        </a:p>
        <a:p>
          <a:endParaRPr lang="de-DE" sz="1800"/>
        </a:p>
        <a:p>
          <a:r>
            <a:rPr lang="de-DE" sz="1800" u="sng"/>
            <a:t>Version 23.01.19:</a:t>
          </a:r>
        </a:p>
        <a:p>
          <a:r>
            <a:rPr lang="de-DE" sz="1800"/>
            <a:t>1. In Prüfungsfächern wird die Gesamtnote erst eingetragen,</a:t>
          </a:r>
        </a:p>
        <a:p>
          <a:r>
            <a:rPr lang="de-DE" sz="1800"/>
            <a:t>wenn auch eine schriftliche Prüfung vorliegt.</a:t>
          </a:r>
        </a:p>
        <a:p>
          <a:r>
            <a:rPr lang="de-DE" sz="1800"/>
            <a:t>2. Sollten in Nichtprüfungsfächern mehr als zwei Gesamtergebnisse </a:t>
          </a:r>
        </a:p>
        <a:p>
          <a:r>
            <a:rPr lang="de-DE" sz="1800"/>
            <a:t>schlechter als 4 Punkte sein, so</a:t>
          </a:r>
          <a:r>
            <a:rPr lang="de-DE" sz="1800" baseline="0"/>
            <a:t> wird die Meldung </a:t>
          </a:r>
        </a:p>
        <a:p>
          <a:r>
            <a:rPr lang="de-DE" sz="1800" b="1" baseline="0">
              <a:solidFill>
                <a:srgbClr val="FF0000"/>
              </a:solidFill>
            </a:rPr>
            <a:t>Zur Prüfung nicht zugelassen</a:t>
          </a:r>
        </a:p>
        <a:p>
          <a:r>
            <a:rPr lang="de-DE" sz="1800" baseline="0"/>
            <a:t>ausgegeben. </a:t>
          </a:r>
        </a:p>
        <a:p>
          <a:endParaRPr lang="de-DE" sz="1800" baseline="0"/>
        </a:p>
        <a:p>
          <a:pPr marL="0" marR="0" lvl="0" indent="0" defTabSz="914400" eaLnBrk="1" fontAlgn="auto" latinLnBrk="0" hangingPunct="1">
            <a:lnSpc>
              <a:spcPct val="100000"/>
            </a:lnSpc>
            <a:spcBef>
              <a:spcPts val="0"/>
            </a:spcBef>
            <a:spcAft>
              <a:spcPts val="0"/>
            </a:spcAft>
            <a:buClrTx/>
            <a:buSzTx/>
            <a:buFontTx/>
            <a:buNone/>
            <a:tabLst/>
            <a:defRPr/>
          </a:pPr>
          <a:r>
            <a:rPr lang="de-DE" sz="1800" u="sng">
              <a:solidFill>
                <a:schemeClr val="tx1"/>
              </a:solidFill>
              <a:latin typeface="+mn-lt"/>
              <a:ea typeface="+mn-ea"/>
              <a:cs typeface="+mn-cs"/>
            </a:rPr>
            <a:t>Version 08.02.19:</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Ist die Gesamtnote &lt;1,</a:t>
          </a:r>
          <a:r>
            <a:rPr lang="de-DE" sz="1800" u="none" baseline="0">
              <a:solidFill>
                <a:schemeClr val="tx1"/>
              </a:solidFill>
              <a:latin typeface="+mn-lt"/>
              <a:ea typeface="+mn-ea"/>
              <a:cs typeface="+mn-cs"/>
            </a:rPr>
            <a:t> so wird sie auf 0 abgerundet.</a:t>
          </a:r>
        </a:p>
        <a:p>
          <a:pPr marL="0" marR="0" lvl="0" indent="0" defTabSz="914400" eaLnBrk="1" fontAlgn="auto" latinLnBrk="0" hangingPunct="1">
            <a:lnSpc>
              <a:spcPct val="100000"/>
            </a:lnSpc>
            <a:spcBef>
              <a:spcPts val="0"/>
            </a:spcBef>
            <a:spcAft>
              <a:spcPts val="0"/>
            </a:spcAft>
            <a:buClrTx/>
            <a:buSzTx/>
            <a:buFontTx/>
            <a:buNone/>
            <a:tabLst/>
            <a:defRPr/>
          </a:pPr>
          <a:endParaRPr lang="de-DE" sz="1800" u="none" baseline="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solidFill>
                <a:schemeClr val="tx1"/>
              </a:solidFill>
              <a:latin typeface="+mn-lt"/>
              <a:ea typeface="+mn-ea"/>
              <a:cs typeface="+mn-cs"/>
            </a:rPr>
            <a:t>Version 04.11.19:</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Für die 13. Klasse wurden drei neue Blätter hinzugefügt:</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a:solidFill>
                <a:schemeClr val="tx1"/>
              </a:solidFill>
              <a:latin typeface="+mn-lt"/>
              <a:ea typeface="+mn-ea"/>
              <a:cs typeface="+mn-cs"/>
            </a:rPr>
            <a:t>FOS</a:t>
          </a:r>
          <a:r>
            <a:rPr lang="de-DE" sz="1800" u="none" baseline="0">
              <a:solidFill>
                <a:schemeClr val="tx1"/>
              </a:solidFill>
              <a:latin typeface="+mn-lt"/>
              <a:ea typeface="+mn-ea"/>
              <a:cs typeface="+mn-cs"/>
            </a:rPr>
            <a:t> 13-Normalfall (2. Fremdsprache über WPF in der 13. JGS)</a:t>
          </a:r>
        </a:p>
        <a:p>
          <a:pPr marL="0" marR="0" lvl="0" indent="0" defTabSz="914400" eaLnBrk="1" fontAlgn="auto" latinLnBrk="0" hangingPunct="1">
            <a:lnSpc>
              <a:spcPct val="100000"/>
            </a:lnSpc>
            <a:spcBef>
              <a:spcPts val="0"/>
            </a:spcBef>
            <a:spcAft>
              <a:spcPts val="0"/>
            </a:spcAft>
            <a:buClrTx/>
            <a:buSzTx/>
            <a:buFontTx/>
            <a:buNone/>
            <a:tabLst/>
            <a:defRPr/>
          </a:pPr>
          <a:r>
            <a:rPr lang="de-DE" sz="1800" u="none" baseline="0">
              <a:solidFill>
                <a:schemeClr val="tx1"/>
              </a:solidFill>
              <a:latin typeface="+mn-lt"/>
              <a:ea typeface="+mn-ea"/>
              <a:cs typeface="+mn-cs"/>
            </a:rPr>
            <a:t>FOS 13-Franz.fortgeführt </a:t>
          </a:r>
          <a:r>
            <a:rPr kumimoji="0" lang="de-DE" sz="1800" b="0" i="0" u="none" strike="noStrike" kern="0" cap="none" spc="0" normalizeH="0" baseline="0" noProof="0">
              <a:ln>
                <a:noFill/>
              </a:ln>
              <a:solidFill>
                <a:prstClr val="black"/>
              </a:solidFill>
              <a:effectLst/>
              <a:uLnTx/>
              <a:uFillTx/>
              <a:latin typeface="+mn-lt"/>
              <a:ea typeface="+mn-ea"/>
              <a:cs typeface="+mn-cs"/>
            </a:rPr>
            <a:t>(2. Fremdsprache über WPF in der 12. JGS)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800" b="0" i="0" u="none" strike="noStrike" kern="0" cap="none" spc="0" normalizeH="0" baseline="0" noProof="0">
              <a:ln>
                <a:noFill/>
              </a:ln>
              <a:solidFill>
                <a:prstClr val="black"/>
              </a:solidFill>
              <a:effectLst/>
              <a:uLnTx/>
              <a:uFillTx/>
              <a:latin typeface="+mn-lt"/>
              <a:ea typeface="+mn-ea"/>
              <a:cs typeface="+mn-cs"/>
            </a:rPr>
            <a:t>FOS 13-Ergänzungspr. (wenn 2. Fremdsprache über Ergänzungsprüfung)</a:t>
          </a:r>
        </a:p>
        <a:p>
          <a:pPr marL="0" marR="0" lvl="0" indent="0" defTabSz="914400" eaLnBrk="1" fontAlgn="auto" latinLnBrk="0" hangingPunct="1">
            <a:lnSpc>
              <a:spcPct val="100000"/>
            </a:lnSpc>
            <a:spcBef>
              <a:spcPts val="0"/>
            </a:spcBef>
            <a:spcAft>
              <a:spcPts val="0"/>
            </a:spcAft>
            <a:buClrTx/>
            <a:buSzTx/>
            <a:buFontTx/>
            <a:buNone/>
            <a:tabLst/>
            <a:defRPr/>
          </a:pPr>
          <a:endParaRPr lang="de-DE" sz="1800" u="none">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t>Version 11.11.19:</a:t>
          </a:r>
        </a:p>
        <a:p>
          <a:pPr marL="0" marR="0" lvl="0" indent="0" defTabSz="914400" eaLnBrk="1" fontAlgn="auto" latinLnBrk="0" hangingPunct="1">
            <a:lnSpc>
              <a:spcPct val="100000"/>
            </a:lnSpc>
            <a:spcBef>
              <a:spcPts val="0"/>
            </a:spcBef>
            <a:spcAft>
              <a:spcPts val="0"/>
            </a:spcAft>
            <a:buClrTx/>
            <a:buSzTx/>
            <a:buFontTx/>
            <a:buNone/>
            <a:tabLst/>
            <a:defRPr/>
          </a:pPr>
          <a:r>
            <a:rPr lang="de-DE" sz="1800" baseline="0"/>
            <a:t>Es wird überprüft, ob mehr als 3 mdl. Prüfungen eingetragen sind.</a:t>
          </a:r>
        </a:p>
        <a:p>
          <a:pPr marL="0" marR="0" lvl="0" indent="0" defTabSz="914400" eaLnBrk="1" fontAlgn="auto" latinLnBrk="0" hangingPunct="1">
            <a:lnSpc>
              <a:spcPct val="100000"/>
            </a:lnSpc>
            <a:spcBef>
              <a:spcPts val="0"/>
            </a:spcBef>
            <a:spcAft>
              <a:spcPts val="0"/>
            </a:spcAft>
            <a:buClrTx/>
            <a:buSzTx/>
            <a:buFontTx/>
            <a:buNone/>
            <a:tabLst/>
            <a:defRPr/>
          </a:pPr>
          <a:endParaRPr lang="de-DE" sz="1800" baseline="0"/>
        </a:p>
        <a:p>
          <a:pPr marL="0" marR="0" lvl="0" indent="0" defTabSz="914400" eaLnBrk="1" fontAlgn="auto" latinLnBrk="0" hangingPunct="1">
            <a:lnSpc>
              <a:spcPct val="100000"/>
            </a:lnSpc>
            <a:spcBef>
              <a:spcPts val="0"/>
            </a:spcBef>
            <a:spcAft>
              <a:spcPts val="0"/>
            </a:spcAft>
            <a:buClrTx/>
            <a:buSzTx/>
            <a:buFontTx/>
            <a:buNone/>
            <a:tabLst/>
            <a:defRPr/>
          </a:pPr>
          <a:r>
            <a:rPr lang="de-DE" sz="1800" u="sng" baseline="0"/>
            <a:t>Version 07.02.20:</a:t>
          </a:r>
          <a:br>
            <a:rPr lang="de-DE" sz="1800" baseline="0"/>
          </a:br>
          <a:r>
            <a:rPr lang="de-DE" sz="1800" baseline="0"/>
            <a:t>Anzeige, wenn Ergänzungsprüfungsnoten unvollständig sind</a:t>
          </a:r>
        </a:p>
        <a:p>
          <a:pPr marL="0" marR="0" lvl="0" indent="0" defTabSz="914400" eaLnBrk="1" fontAlgn="auto" latinLnBrk="0" hangingPunct="1">
            <a:lnSpc>
              <a:spcPct val="100000"/>
            </a:lnSpc>
            <a:spcBef>
              <a:spcPts val="0"/>
            </a:spcBef>
            <a:spcAft>
              <a:spcPts val="0"/>
            </a:spcAft>
            <a:buClrTx/>
            <a:buSzTx/>
            <a:buFontTx/>
            <a:buNone/>
            <a:tabLst/>
            <a:defRPr/>
          </a:pPr>
          <a:r>
            <a:rPr lang="de-DE" sz="1800" baseline="0"/>
            <a:t>Layout und Rechtschreibung optimiert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302876</xdr:colOff>
      <xdr:row>45</xdr:row>
      <xdr:rowOff>65542</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5365983" cy="89442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9</xdr:col>
      <xdr:colOff>170486</xdr:colOff>
      <xdr:row>35</xdr:row>
      <xdr:rowOff>37267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371475"/>
          <a:ext cx="7714286" cy="6666667"/>
        </a:xfrm>
        <a:prstGeom prst="rect">
          <a:avLst/>
        </a:prstGeom>
      </xdr:spPr>
    </xdr:pic>
    <xdr:clientData/>
  </xdr:twoCellAnchor>
  <xdr:twoCellAnchor editAs="oneCell">
    <xdr:from>
      <xdr:col>9</xdr:col>
      <xdr:colOff>161925</xdr:colOff>
      <xdr:row>1</xdr:row>
      <xdr:rowOff>171450</xdr:rowOff>
    </xdr:from>
    <xdr:to>
      <xdr:col>18</xdr:col>
      <xdr:colOff>170506</xdr:colOff>
      <xdr:row>33</xdr:row>
      <xdr:rowOff>170650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705725" y="371475"/>
          <a:ext cx="7552381" cy="6400000"/>
        </a:xfrm>
        <a:prstGeom prst="rect">
          <a:avLst/>
        </a:prstGeom>
      </xdr:spPr>
    </xdr:pic>
    <xdr:clientData/>
  </xdr:twoCellAnchor>
  <xdr:oneCellAnchor>
    <xdr:from>
      <xdr:col>7</xdr:col>
      <xdr:colOff>38100</xdr:colOff>
      <xdr:row>1</xdr:row>
      <xdr:rowOff>95250</xdr:rowOff>
    </xdr:from>
    <xdr:ext cx="914994" cy="405432"/>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5905500" y="295275"/>
          <a:ext cx="914994"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FOS 12</a:t>
          </a:r>
        </a:p>
      </xdr:txBody>
    </xdr:sp>
    <xdr:clientData/>
  </xdr:oneCellAnchor>
  <xdr:oneCellAnchor>
    <xdr:from>
      <xdr:col>16</xdr:col>
      <xdr:colOff>381000</xdr:colOff>
      <xdr:row>1</xdr:row>
      <xdr:rowOff>85725</xdr:rowOff>
    </xdr:from>
    <xdr:ext cx="941027" cy="405432"/>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13792200" y="285750"/>
          <a:ext cx="941027"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BOS 12</a:t>
          </a:r>
        </a:p>
      </xdr:txBody>
    </xdr:sp>
    <xdr:clientData/>
  </xdr:oneCellAnchor>
  <xdr:twoCellAnchor editAs="oneCell">
    <xdr:from>
      <xdr:col>0</xdr:col>
      <xdr:colOff>0</xdr:colOff>
      <xdr:row>41</xdr:row>
      <xdr:rowOff>142875</xdr:rowOff>
    </xdr:from>
    <xdr:to>
      <xdr:col>10</xdr:col>
      <xdr:colOff>113238</xdr:colOff>
      <xdr:row>72</xdr:row>
      <xdr:rowOff>65909</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0" y="8343900"/>
          <a:ext cx="8495238" cy="6123809"/>
        </a:xfrm>
        <a:prstGeom prst="rect">
          <a:avLst/>
        </a:prstGeom>
      </xdr:spPr>
    </xdr:pic>
    <xdr:clientData/>
  </xdr:twoCellAnchor>
  <xdr:twoCellAnchor editAs="oneCell">
    <xdr:from>
      <xdr:col>10</xdr:col>
      <xdr:colOff>152400</xdr:colOff>
      <xdr:row>42</xdr:row>
      <xdr:rowOff>104775</xdr:rowOff>
    </xdr:from>
    <xdr:to>
      <xdr:col>20</xdr:col>
      <xdr:colOff>237067</xdr:colOff>
      <xdr:row>67</xdr:row>
      <xdr:rowOff>37483</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8534400" y="8505825"/>
          <a:ext cx="8466667" cy="4933333"/>
        </a:xfrm>
        <a:prstGeom prst="rect">
          <a:avLst/>
        </a:prstGeom>
      </xdr:spPr>
    </xdr:pic>
    <xdr:clientData/>
  </xdr:twoCellAnchor>
  <xdr:oneCellAnchor>
    <xdr:from>
      <xdr:col>9</xdr:col>
      <xdr:colOff>114300</xdr:colOff>
      <xdr:row>39</xdr:row>
      <xdr:rowOff>66675</xdr:rowOff>
    </xdr:from>
    <xdr:ext cx="1463670" cy="405432"/>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7658100" y="7867650"/>
          <a:ext cx="1463670"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2000" b="1">
              <a:solidFill>
                <a:srgbClr val="FF0000"/>
              </a:solidFill>
            </a:rPr>
            <a:t>FOS/BOS 13</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1"/>
  <dimension ref="A2:AG37"/>
  <sheetViews>
    <sheetView topLeftCell="Q1" zoomScaleNormal="100" workbookViewId="0">
      <selection activeCell="R2" sqref="R2"/>
    </sheetView>
  </sheetViews>
  <sheetFormatPr baseColWidth="10" defaultRowHeight="15.75"/>
  <cols>
    <col min="1" max="2" width="11" style="93" hidden="1" customWidth="1"/>
    <col min="3" max="3" width="28.125" style="93" hidden="1" customWidth="1"/>
    <col min="4" max="4" width="11" style="94" hidden="1" customWidth="1"/>
    <col min="5" max="5" width="23.875" style="93" hidden="1" customWidth="1"/>
    <col min="6" max="6" width="4.375" style="93" hidden="1" customWidth="1"/>
    <col min="7" max="7" width="12.5" style="93" hidden="1" customWidth="1"/>
    <col min="8" max="8" width="4.375" style="93" hidden="1" customWidth="1"/>
    <col min="9" max="9" width="23.875" style="93" hidden="1" customWidth="1"/>
    <col min="10" max="10" width="22.5" style="93" hidden="1" customWidth="1"/>
    <col min="11" max="12" width="18.125" style="93" hidden="1" customWidth="1"/>
    <col min="13" max="13" width="10.125" style="93" hidden="1" customWidth="1"/>
    <col min="14" max="16" width="18.125" style="93" hidden="1" customWidth="1"/>
    <col min="17" max="16384" width="11" style="93"/>
  </cols>
  <sheetData>
    <row r="2" spans="2:33">
      <c r="C2" s="93" t="s">
        <v>84</v>
      </c>
      <c r="F2" s="175"/>
      <c r="G2" s="175"/>
      <c r="H2" s="175"/>
      <c r="I2" s="152" t="s">
        <v>138</v>
      </c>
      <c r="J2" s="152" t="s">
        <v>139</v>
      </c>
      <c r="K2" s="152" t="s">
        <v>140</v>
      </c>
      <c r="L2" s="152" t="s">
        <v>141</v>
      </c>
      <c r="M2" s="152" t="s">
        <v>142</v>
      </c>
      <c r="N2" s="152" t="s">
        <v>143</v>
      </c>
      <c r="O2" s="152" t="s">
        <v>145</v>
      </c>
      <c r="P2" s="152" t="s">
        <v>146</v>
      </c>
      <c r="AG2" s="93" t="s">
        <v>199</v>
      </c>
    </row>
    <row r="3" spans="2:33">
      <c r="B3" s="149" t="s">
        <v>81</v>
      </c>
      <c r="C3" s="149" t="s">
        <v>14</v>
      </c>
      <c r="D3" s="94">
        <v>1</v>
      </c>
      <c r="F3" s="175"/>
      <c r="G3" s="175"/>
      <c r="H3" s="175"/>
      <c r="I3" s="175" t="s">
        <v>10</v>
      </c>
      <c r="J3" s="175" t="s">
        <v>11</v>
      </c>
      <c r="K3" s="175" t="s">
        <v>12</v>
      </c>
      <c r="L3" s="175" t="s">
        <v>12</v>
      </c>
      <c r="M3" s="175" t="s">
        <v>12</v>
      </c>
      <c r="N3" s="175" t="s">
        <v>13</v>
      </c>
      <c r="O3" s="175" t="s">
        <v>137</v>
      </c>
      <c r="P3" s="175" t="s">
        <v>144</v>
      </c>
    </row>
    <row r="4" spans="2:33">
      <c r="B4" s="149" t="s">
        <v>82</v>
      </c>
      <c r="C4" s="149" t="s">
        <v>15</v>
      </c>
      <c r="D4" s="94">
        <v>1</v>
      </c>
      <c r="F4" s="99" t="s">
        <v>116</v>
      </c>
      <c r="G4" s="99" t="s">
        <v>117</v>
      </c>
      <c r="H4" s="99" t="s">
        <v>116</v>
      </c>
      <c r="I4" s="99" t="s">
        <v>85</v>
      </c>
      <c r="J4" s="99" t="s">
        <v>93</v>
      </c>
      <c r="K4" s="176" t="str">
        <f>"-"</f>
        <v>-</v>
      </c>
      <c r="L4" s="176" t="str">
        <f>"-"</f>
        <v>-</v>
      </c>
      <c r="M4" s="176" t="s">
        <v>94</v>
      </c>
      <c r="N4" s="176" t="str">
        <f>"-"</f>
        <v>-</v>
      </c>
      <c r="O4" s="99" t="s">
        <v>102</v>
      </c>
      <c r="P4" s="176" t="str">
        <f>"-"</f>
        <v>-</v>
      </c>
    </row>
    <row r="5" spans="2:33">
      <c r="B5" s="149" t="s">
        <v>83</v>
      </c>
      <c r="C5" s="149" t="s">
        <v>16</v>
      </c>
      <c r="D5" s="94">
        <v>1</v>
      </c>
      <c r="F5" s="99" t="s">
        <v>118</v>
      </c>
      <c r="G5" s="99" t="s">
        <v>135</v>
      </c>
      <c r="H5" s="99" t="s">
        <v>118</v>
      </c>
      <c r="I5" s="99" t="s">
        <v>89</v>
      </c>
      <c r="J5" s="99" t="s">
        <v>94</v>
      </c>
      <c r="K5" s="176" t="str">
        <f>"-"</f>
        <v>-</v>
      </c>
      <c r="L5" s="176" t="str">
        <f>"-"</f>
        <v>-</v>
      </c>
      <c r="M5" s="176" t="s">
        <v>85</v>
      </c>
      <c r="N5" s="176" t="str">
        <f t="shared" ref="N5:P10" si="0">"-"</f>
        <v>-</v>
      </c>
      <c r="O5" s="99" t="s">
        <v>93</v>
      </c>
      <c r="P5" s="176" t="str">
        <f t="shared" si="0"/>
        <v>-</v>
      </c>
    </row>
    <row r="6" spans="2:33">
      <c r="B6" s="178" t="s">
        <v>175</v>
      </c>
      <c r="C6" s="178" t="s">
        <v>176</v>
      </c>
      <c r="D6" s="94">
        <v>0</v>
      </c>
      <c r="F6" s="99" t="s">
        <v>119</v>
      </c>
      <c r="G6" s="99" t="s">
        <v>120</v>
      </c>
      <c r="H6" s="99" t="s">
        <v>119</v>
      </c>
      <c r="I6" s="99" t="s">
        <v>86</v>
      </c>
      <c r="J6" s="99" t="s">
        <v>95</v>
      </c>
      <c r="K6" s="176" t="str">
        <f t="shared" ref="J6:K9" si="1">"-"</f>
        <v>-</v>
      </c>
      <c r="L6" s="176" t="s">
        <v>99</v>
      </c>
      <c r="M6" s="176" t="str">
        <f>"-"</f>
        <v>-</v>
      </c>
      <c r="N6" s="176" t="str">
        <f t="shared" si="0"/>
        <v>-</v>
      </c>
      <c r="O6" s="176" t="s">
        <v>101</v>
      </c>
      <c r="P6" s="99" t="s">
        <v>44</v>
      </c>
    </row>
    <row r="7" spans="2:33">
      <c r="B7" s="93" t="s">
        <v>128</v>
      </c>
      <c r="C7" s="178" t="s">
        <v>129</v>
      </c>
      <c r="D7" s="94">
        <v>0</v>
      </c>
      <c r="F7" s="99" t="s">
        <v>121</v>
      </c>
      <c r="G7" s="99" t="s">
        <v>122</v>
      </c>
      <c r="H7" s="99" t="s">
        <v>121</v>
      </c>
      <c r="I7" s="99" t="s">
        <v>87</v>
      </c>
      <c r="J7" s="99" t="s">
        <v>123</v>
      </c>
      <c r="K7" s="176" t="str">
        <f t="shared" si="1"/>
        <v>-</v>
      </c>
      <c r="L7" s="176" t="s">
        <v>99</v>
      </c>
      <c r="M7" s="176" t="str">
        <f>"-"</f>
        <v>-</v>
      </c>
      <c r="N7" s="176" t="str">
        <f t="shared" si="0"/>
        <v>-</v>
      </c>
      <c r="O7" s="176" t="s">
        <v>101</v>
      </c>
      <c r="P7" s="99" t="s">
        <v>103</v>
      </c>
    </row>
    <row r="8" spans="2:33">
      <c r="B8" s="93" t="s">
        <v>26</v>
      </c>
      <c r="C8" s="93" t="s">
        <v>27</v>
      </c>
      <c r="D8" s="94">
        <v>1</v>
      </c>
      <c r="F8" s="99" t="s">
        <v>114</v>
      </c>
      <c r="G8" s="99" t="s">
        <v>124</v>
      </c>
      <c r="H8" s="99" t="s">
        <v>114</v>
      </c>
      <c r="I8" s="99" t="s">
        <v>88</v>
      </c>
      <c r="J8" s="99" t="s">
        <v>96</v>
      </c>
      <c r="K8" s="176" t="str">
        <f t="shared" si="1"/>
        <v>-</v>
      </c>
      <c r="L8" s="176" t="s">
        <v>94</v>
      </c>
      <c r="M8" s="176" t="str">
        <f>"-"</f>
        <v>-</v>
      </c>
      <c r="N8" s="176" t="str">
        <f t="shared" si="0"/>
        <v>-</v>
      </c>
      <c r="O8" s="176" t="s">
        <v>89</v>
      </c>
      <c r="P8" s="99" t="s">
        <v>72</v>
      </c>
    </row>
    <row r="9" spans="2:33">
      <c r="B9" s="93" t="s">
        <v>30</v>
      </c>
      <c r="C9" s="93" t="s">
        <v>31</v>
      </c>
      <c r="D9" s="94">
        <v>1</v>
      </c>
      <c r="F9" s="99" t="s">
        <v>125</v>
      </c>
      <c r="G9" s="99" t="s">
        <v>126</v>
      </c>
      <c r="H9" s="99" t="s">
        <v>125</v>
      </c>
      <c r="I9" s="99" t="s">
        <v>90</v>
      </c>
      <c r="J9" s="176" t="str">
        <f t="shared" si="1"/>
        <v>-</v>
      </c>
      <c r="K9" s="176" t="s">
        <v>89</v>
      </c>
      <c r="L9" s="176" t="str">
        <f>"-"</f>
        <v>-</v>
      </c>
      <c r="M9" s="176" t="s">
        <v>100</v>
      </c>
      <c r="N9" s="99" t="s">
        <v>94</v>
      </c>
      <c r="O9" s="176" t="str">
        <f>"-"</f>
        <v>-</v>
      </c>
      <c r="P9" s="176" t="str">
        <f>"-"</f>
        <v>-</v>
      </c>
    </row>
    <row r="10" spans="2:33">
      <c r="B10" s="93" t="s">
        <v>57</v>
      </c>
      <c r="C10" s="93" t="s">
        <v>58</v>
      </c>
      <c r="D10" s="94">
        <v>1</v>
      </c>
      <c r="F10" s="99" t="s">
        <v>127</v>
      </c>
      <c r="G10" s="99" t="s">
        <v>91</v>
      </c>
      <c r="H10" s="99" t="s">
        <v>127</v>
      </c>
      <c r="I10" s="99" t="s">
        <v>92</v>
      </c>
      <c r="J10" s="99" t="s">
        <v>97</v>
      </c>
      <c r="K10" s="176" t="s">
        <v>101</v>
      </c>
      <c r="L10" s="176" t="str">
        <f>"-"</f>
        <v>-</v>
      </c>
      <c r="M10" s="176" t="s">
        <v>98</v>
      </c>
      <c r="N10" s="176" t="str">
        <f t="shared" si="0"/>
        <v>-</v>
      </c>
      <c r="O10" s="176" t="str">
        <f t="shared" si="0"/>
        <v>-</v>
      </c>
      <c r="P10" s="176" t="str">
        <f t="shared" si="0"/>
        <v>-</v>
      </c>
    </row>
    <row r="11" spans="2:33">
      <c r="B11" s="93" t="s">
        <v>59</v>
      </c>
      <c r="C11" s="93" t="s">
        <v>60</v>
      </c>
      <c r="D11" s="94">
        <v>1</v>
      </c>
    </row>
    <row r="12" spans="2:33">
      <c r="B12" s="93" t="s">
        <v>28</v>
      </c>
      <c r="C12" s="93" t="s">
        <v>29</v>
      </c>
      <c r="D12" s="94">
        <v>1</v>
      </c>
      <c r="F12" s="175"/>
      <c r="G12" s="175"/>
      <c r="H12" s="175"/>
      <c r="I12" s="152"/>
      <c r="J12" s="152"/>
      <c r="K12" s="1"/>
      <c r="L12" s="1"/>
      <c r="M12" s="177"/>
      <c r="N12" s="152"/>
    </row>
    <row r="13" spans="2:33">
      <c r="B13" s="93" t="s">
        <v>32</v>
      </c>
      <c r="C13" s="93" t="s">
        <v>33</v>
      </c>
      <c r="D13" s="94">
        <v>1</v>
      </c>
      <c r="F13" s="175"/>
      <c r="G13" s="175"/>
      <c r="H13" s="175"/>
      <c r="I13" s="175" t="s">
        <v>10</v>
      </c>
      <c r="J13" s="175" t="s">
        <v>11</v>
      </c>
      <c r="K13" s="178"/>
      <c r="L13" s="178"/>
      <c r="M13" s="179" t="s">
        <v>12</v>
      </c>
      <c r="N13" s="175" t="s">
        <v>12</v>
      </c>
    </row>
    <row r="14" spans="2:33">
      <c r="B14" s="93" t="s">
        <v>38</v>
      </c>
      <c r="C14" s="93" t="s">
        <v>39</v>
      </c>
      <c r="D14" s="94">
        <v>1</v>
      </c>
      <c r="F14" s="99" t="s">
        <v>116</v>
      </c>
      <c r="G14" s="99" t="s">
        <v>117</v>
      </c>
      <c r="H14" s="99" t="s">
        <v>116</v>
      </c>
      <c r="I14" s="99" t="s">
        <v>85</v>
      </c>
      <c r="J14" s="99" t="s">
        <v>93</v>
      </c>
      <c r="K14" s="180"/>
      <c r="L14" s="178"/>
      <c r="M14" s="134" t="s">
        <v>94</v>
      </c>
      <c r="N14" s="99" t="s">
        <v>102</v>
      </c>
      <c r="O14" s="149"/>
      <c r="P14" s="149"/>
    </row>
    <row r="15" spans="2:33">
      <c r="B15" s="93" t="s">
        <v>34</v>
      </c>
      <c r="C15" s="93" t="s">
        <v>35</v>
      </c>
      <c r="D15" s="94">
        <v>1</v>
      </c>
      <c r="F15" s="99" t="s">
        <v>118</v>
      </c>
      <c r="G15" s="99" t="s">
        <v>135</v>
      </c>
      <c r="H15" s="99" t="s">
        <v>118</v>
      </c>
      <c r="I15" s="99" t="s">
        <v>89</v>
      </c>
      <c r="J15" s="99" t="s">
        <v>94</v>
      </c>
      <c r="K15" s="180"/>
      <c r="L15" s="178"/>
      <c r="M15" s="134" t="s">
        <v>85</v>
      </c>
      <c r="N15" s="99" t="s">
        <v>93</v>
      </c>
      <c r="O15" s="149"/>
      <c r="P15" s="149"/>
    </row>
    <row r="16" spans="2:33">
      <c r="B16" s="93" t="s">
        <v>36</v>
      </c>
      <c r="C16" s="93" t="s">
        <v>37</v>
      </c>
      <c r="D16" s="94">
        <v>1</v>
      </c>
      <c r="F16" s="99" t="s">
        <v>119</v>
      </c>
      <c r="G16" s="99" t="s">
        <v>120</v>
      </c>
      <c r="H16" s="99" t="s">
        <v>119</v>
      </c>
      <c r="I16" s="99" t="s">
        <v>86</v>
      </c>
      <c r="J16" s="99" t="s">
        <v>95</v>
      </c>
      <c r="K16" s="180"/>
      <c r="L16" s="178"/>
      <c r="M16" s="134" t="s">
        <v>101</v>
      </c>
      <c r="N16" s="99" t="s">
        <v>44</v>
      </c>
      <c r="O16" s="149"/>
      <c r="P16" s="149"/>
    </row>
    <row r="17" spans="2:16" ht="16.5" thickBot="1">
      <c r="B17" s="93" t="s">
        <v>61</v>
      </c>
      <c r="C17" s="93" t="s">
        <v>62</v>
      </c>
      <c r="D17" s="94">
        <v>1</v>
      </c>
      <c r="F17" s="99" t="s">
        <v>121</v>
      </c>
      <c r="G17" s="99" t="s">
        <v>122</v>
      </c>
      <c r="H17" s="99" t="s">
        <v>121</v>
      </c>
      <c r="I17" s="99" t="s">
        <v>87</v>
      </c>
      <c r="J17" s="99" t="s">
        <v>123</v>
      </c>
      <c r="K17" s="180"/>
      <c r="L17" s="178"/>
      <c r="M17" s="134" t="s">
        <v>101</v>
      </c>
      <c r="N17" s="99" t="s">
        <v>103</v>
      </c>
      <c r="O17" s="149"/>
      <c r="P17" s="149"/>
    </row>
    <row r="18" spans="2:16">
      <c r="B18" s="93" t="s">
        <v>43</v>
      </c>
      <c r="C18" s="93" t="s">
        <v>44</v>
      </c>
      <c r="D18" s="94">
        <v>1</v>
      </c>
      <c r="F18" s="99" t="s">
        <v>114</v>
      </c>
      <c r="G18" s="99" t="s">
        <v>124</v>
      </c>
      <c r="H18" s="99" t="s">
        <v>114</v>
      </c>
      <c r="I18" s="99" t="s">
        <v>88</v>
      </c>
      <c r="J18" s="99" t="s">
        <v>96</v>
      </c>
      <c r="K18" s="181"/>
      <c r="L18" s="178"/>
      <c r="M18" s="134" t="s">
        <v>89</v>
      </c>
      <c r="N18" s="99" t="s">
        <v>72</v>
      </c>
      <c r="O18" s="149"/>
      <c r="P18" s="149"/>
    </row>
    <row r="19" spans="2:16" ht="16.5" thickBot="1">
      <c r="B19" s="93" t="s">
        <v>41</v>
      </c>
      <c r="C19" s="93" t="s">
        <v>42</v>
      </c>
      <c r="D19" s="94">
        <v>1</v>
      </c>
      <c r="F19" s="99" t="s">
        <v>125</v>
      </c>
      <c r="G19" s="99" t="s">
        <v>126</v>
      </c>
      <c r="H19" s="99" t="s">
        <v>125</v>
      </c>
      <c r="I19" s="99" t="s">
        <v>90</v>
      </c>
      <c r="J19" s="176" t="s">
        <v>89</v>
      </c>
      <c r="K19" s="182" t="s">
        <v>136</v>
      </c>
      <c r="L19" s="178"/>
      <c r="M19" s="183" t="s">
        <v>100</v>
      </c>
      <c r="N19" s="176" t="s">
        <v>94</v>
      </c>
      <c r="O19" s="149"/>
      <c r="P19" s="149"/>
    </row>
    <row r="20" spans="2:16">
      <c r="B20" s="93" t="s">
        <v>45</v>
      </c>
      <c r="C20" s="93" t="s">
        <v>46</v>
      </c>
      <c r="D20" s="94">
        <v>1</v>
      </c>
      <c r="F20" s="99" t="s">
        <v>127</v>
      </c>
      <c r="G20" s="99" t="s">
        <v>91</v>
      </c>
      <c r="H20" s="99" t="s">
        <v>127</v>
      </c>
      <c r="I20" s="99" t="s">
        <v>92</v>
      </c>
      <c r="J20" s="99" t="s">
        <v>97</v>
      </c>
      <c r="K20" s="180"/>
      <c r="L20" s="180"/>
      <c r="M20" s="134" t="s">
        <v>101</v>
      </c>
      <c r="N20" s="99" t="s">
        <v>98</v>
      </c>
      <c r="O20" s="149"/>
      <c r="P20" s="149"/>
    </row>
    <row r="21" spans="2:16">
      <c r="B21" s="93" t="s">
        <v>47</v>
      </c>
      <c r="C21" s="93" t="s">
        <v>48</v>
      </c>
      <c r="D21" s="94">
        <v>1</v>
      </c>
      <c r="M21" s="149"/>
      <c r="N21" s="149"/>
      <c r="O21" s="149"/>
      <c r="P21" s="149"/>
    </row>
    <row r="22" spans="2:16">
      <c r="B22" s="93" t="s">
        <v>49</v>
      </c>
      <c r="C22" s="93" t="s">
        <v>132</v>
      </c>
      <c r="D22" s="94">
        <v>0</v>
      </c>
      <c r="F22" s="175"/>
      <c r="G22" s="175"/>
      <c r="H22" s="175"/>
      <c r="I22" s="175" t="s">
        <v>10</v>
      </c>
      <c r="J22" s="175" t="s">
        <v>11</v>
      </c>
      <c r="K22" s="175" t="s">
        <v>12</v>
      </c>
      <c r="M22" s="149"/>
      <c r="N22" s="149"/>
      <c r="O22" s="149"/>
      <c r="P22" s="149"/>
    </row>
    <row r="23" spans="2:16">
      <c r="B23" s="93" t="s">
        <v>50</v>
      </c>
      <c r="C23" s="93" t="s">
        <v>51</v>
      </c>
      <c r="D23" s="94">
        <v>1</v>
      </c>
      <c r="F23" s="99" t="s">
        <v>116</v>
      </c>
      <c r="G23" s="99" t="s">
        <v>117</v>
      </c>
      <c r="H23" s="99" t="s">
        <v>116</v>
      </c>
      <c r="I23" s="99" t="s">
        <v>85</v>
      </c>
      <c r="J23" s="99" t="s">
        <v>93</v>
      </c>
      <c r="K23" s="176" t="s">
        <v>94</v>
      </c>
      <c r="M23" s="149"/>
      <c r="N23" s="149"/>
      <c r="O23" s="149"/>
      <c r="P23" s="149"/>
    </row>
    <row r="24" spans="2:16">
      <c r="B24" s="93" t="s">
        <v>52</v>
      </c>
      <c r="C24" s="93" t="s">
        <v>53</v>
      </c>
      <c r="D24" s="94">
        <v>1</v>
      </c>
      <c r="F24" s="99" t="s">
        <v>118</v>
      </c>
      <c r="G24" s="99" t="s">
        <v>135</v>
      </c>
      <c r="H24" s="99" t="s">
        <v>118</v>
      </c>
      <c r="I24" s="99" t="s">
        <v>89</v>
      </c>
      <c r="J24" s="99" t="s">
        <v>94</v>
      </c>
      <c r="K24" s="99" t="s">
        <v>93</v>
      </c>
      <c r="M24" s="149"/>
      <c r="N24" s="149"/>
      <c r="O24" s="149"/>
      <c r="P24" s="149"/>
    </row>
    <row r="25" spans="2:16">
      <c r="B25" s="93" t="s">
        <v>54</v>
      </c>
      <c r="C25" s="93" t="s">
        <v>131</v>
      </c>
      <c r="D25" s="94">
        <v>0</v>
      </c>
      <c r="F25" s="99" t="s">
        <v>119</v>
      </c>
      <c r="G25" s="99" t="s">
        <v>120</v>
      </c>
      <c r="H25" s="99" t="s">
        <v>119</v>
      </c>
      <c r="I25" s="99" t="s">
        <v>86</v>
      </c>
      <c r="J25" s="99" t="s">
        <v>95</v>
      </c>
      <c r="K25" s="176" t="s">
        <v>101</v>
      </c>
    </row>
    <row r="26" spans="2:16">
      <c r="B26" s="93" t="s">
        <v>55</v>
      </c>
      <c r="C26" s="93" t="s">
        <v>56</v>
      </c>
      <c r="D26" s="94">
        <v>1</v>
      </c>
      <c r="F26" s="99" t="s">
        <v>121</v>
      </c>
      <c r="G26" s="99" t="s">
        <v>122</v>
      </c>
      <c r="H26" s="99" t="s">
        <v>121</v>
      </c>
      <c r="I26" s="99" t="s">
        <v>87</v>
      </c>
      <c r="J26" s="99" t="s">
        <v>123</v>
      </c>
      <c r="K26" s="176" t="s">
        <v>101</v>
      </c>
    </row>
    <row r="27" spans="2:16">
      <c r="B27" s="93" t="s">
        <v>63</v>
      </c>
      <c r="C27" s="93" t="s">
        <v>64</v>
      </c>
      <c r="D27" s="94">
        <v>1</v>
      </c>
      <c r="F27" s="99" t="s">
        <v>114</v>
      </c>
      <c r="G27" s="99" t="s">
        <v>124</v>
      </c>
      <c r="H27" s="99" t="s">
        <v>114</v>
      </c>
      <c r="I27" s="99" t="s">
        <v>88</v>
      </c>
      <c r="J27" s="99" t="s">
        <v>96</v>
      </c>
      <c r="K27" s="176" t="s">
        <v>89</v>
      </c>
    </row>
    <row r="28" spans="2:16">
      <c r="B28" s="93" t="s">
        <v>69</v>
      </c>
      <c r="C28" s="93" t="s">
        <v>70</v>
      </c>
      <c r="D28" s="94">
        <v>1</v>
      </c>
      <c r="F28" s="99" t="s">
        <v>125</v>
      </c>
      <c r="G28" s="99" t="s">
        <v>126</v>
      </c>
      <c r="H28" s="99" t="s">
        <v>125</v>
      </c>
      <c r="I28" s="99" t="s">
        <v>90</v>
      </c>
      <c r="J28" s="176" t="s">
        <v>89</v>
      </c>
      <c r="K28" s="176" t="s">
        <v>183</v>
      </c>
    </row>
    <row r="29" spans="2:16">
      <c r="B29" s="93" t="s">
        <v>71</v>
      </c>
      <c r="C29" s="93" t="s">
        <v>72</v>
      </c>
      <c r="D29" s="94">
        <v>1</v>
      </c>
      <c r="F29" s="99" t="s">
        <v>127</v>
      </c>
      <c r="G29" s="99" t="s">
        <v>91</v>
      </c>
      <c r="H29" s="99" t="s">
        <v>127</v>
      </c>
      <c r="I29" s="99" t="s">
        <v>91</v>
      </c>
      <c r="J29" s="99" t="s">
        <v>98</v>
      </c>
      <c r="K29" s="176" t="s">
        <v>101</v>
      </c>
    </row>
    <row r="30" spans="2:16">
      <c r="B30" s="93" t="s">
        <v>73</v>
      </c>
      <c r="C30" s="93" t="s">
        <v>74</v>
      </c>
      <c r="D30" s="94">
        <v>1</v>
      </c>
    </row>
    <row r="31" spans="2:16">
      <c r="B31" s="93" t="s">
        <v>75</v>
      </c>
      <c r="C31" s="93" t="s">
        <v>76</v>
      </c>
      <c r="D31" s="94">
        <v>1</v>
      </c>
    </row>
    <row r="32" spans="2:16">
      <c r="B32" s="93" t="s">
        <v>67</v>
      </c>
      <c r="C32" s="93" t="s">
        <v>68</v>
      </c>
      <c r="D32" s="94">
        <v>1</v>
      </c>
    </row>
    <row r="33" spans="2:4">
      <c r="B33" s="93" t="s">
        <v>65</v>
      </c>
      <c r="C33" s="93" t="s">
        <v>130</v>
      </c>
      <c r="D33" s="94">
        <v>0</v>
      </c>
    </row>
    <row r="34" spans="2:4">
      <c r="B34" s="93" t="s">
        <v>66</v>
      </c>
      <c r="C34" s="93" t="s">
        <v>133</v>
      </c>
      <c r="D34" s="94">
        <v>0</v>
      </c>
    </row>
    <row r="35" spans="2:4">
      <c r="B35" s="93" t="s">
        <v>40</v>
      </c>
      <c r="C35" s="93" t="s">
        <v>134</v>
      </c>
      <c r="D35" s="94">
        <v>0</v>
      </c>
    </row>
    <row r="36" spans="2:4">
      <c r="B36" s="93" t="s">
        <v>77</v>
      </c>
      <c r="C36" s="93" t="s">
        <v>78</v>
      </c>
      <c r="D36" s="94">
        <v>1</v>
      </c>
    </row>
    <row r="37" spans="2:4">
      <c r="B37" s="93" t="s">
        <v>79</v>
      </c>
      <c r="C37" s="93" t="s">
        <v>80</v>
      </c>
      <c r="D37" s="94">
        <v>1</v>
      </c>
    </row>
  </sheetData>
  <sheetProtection algorithmName="SHA-512" hashValue="nOL5jRFSt3N5YegkWmfe5UIfcGgH0UCvk9azMjNUbMHd8soVeNxWOulNAkcsL2JnLmVhBxyisxhD6xgvP6k7jQ==" saltValue="Kycvc37xnNhUAL2Hx/roPA==" spinCount="100000" sheet="1" selectLockedCells="1"/>
  <sortState ref="B4:C36">
    <sortCondition ref="C3:C35"/>
  </sortState>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
  <sheetViews>
    <sheetView zoomScale="110" zoomScaleNormal="110" workbookViewId="0">
      <selection activeCell="A7" sqref="A7"/>
    </sheetView>
  </sheetViews>
  <sheetFormatPr baseColWidth="10" defaultRowHeight="15.75"/>
  <sheetData/>
  <sheetProtection password="CD32" sheet="1" select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
  <sheetViews>
    <sheetView topLeftCell="A40" zoomScale="80" zoomScaleNormal="80" workbookViewId="0"/>
  </sheetViews>
  <sheetFormatPr baseColWidth="10" defaultRowHeight="15.75"/>
  <sheetData/>
  <sheetProtection password="CD32"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pageSetUpPr fitToPage="1"/>
  </sheetPr>
  <dimension ref="A1:AU46"/>
  <sheetViews>
    <sheetView topLeftCell="B2" zoomScaleNormal="100" workbookViewId="0">
      <selection activeCell="D4" sqref="D4:F4"/>
    </sheetView>
  </sheetViews>
  <sheetFormatPr baseColWidth="10" defaultRowHeight="15.75"/>
  <cols>
    <col min="1" max="1" width="5.625" style="93" hidden="1" customWidth="1"/>
    <col min="2" max="2" width="3.5" style="93" customWidth="1"/>
    <col min="3" max="3" width="27.2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6" width="5.375" style="93" customWidth="1"/>
    <col min="17"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4" hidden="1" customWidth="1"/>
    <col min="33" max="33" width="9.5" style="93" hidden="1" customWidth="1"/>
    <col min="34" max="34" width="4.625" style="94" hidden="1" customWidth="1"/>
    <col min="35" max="35" width="27.125" style="204" bestFit="1" customWidth="1"/>
    <col min="36" max="36" width="14.75" style="93" bestFit="1" customWidth="1"/>
    <col min="37" max="37" width="7.25" style="93" bestFit="1" customWidth="1"/>
    <col min="38" max="38" width="4.25" style="94" customWidth="1"/>
    <col min="39" max="16384" width="11" style="93"/>
  </cols>
  <sheetData>
    <row r="1" spans="1:47" ht="16.5" thickBot="1"/>
    <row r="2" spans="1:47" ht="21">
      <c r="C2" s="300" t="s">
        <v>21</v>
      </c>
      <c r="D2" s="300"/>
      <c r="H2" s="93" t="s">
        <v>113</v>
      </c>
      <c r="I2" s="301" t="s">
        <v>173</v>
      </c>
      <c r="J2" s="301"/>
      <c r="K2" s="301"/>
      <c r="L2" s="301"/>
      <c r="M2" s="301"/>
      <c r="N2" s="301"/>
      <c r="O2" s="301"/>
      <c r="AI2" s="207" t="str">
        <f>C29</f>
        <v>Punktezahl Prüfungen (dreifach)</v>
      </c>
      <c r="AJ2" s="208">
        <f>D29</f>
        <v>51</v>
      </c>
      <c r="AK2" s="209" t="str">
        <f>F29</f>
        <v>Anzahl:</v>
      </c>
      <c r="AL2" s="196">
        <f>H29</f>
        <v>4</v>
      </c>
    </row>
    <row r="3" spans="1:47" ht="15.75" customHeight="1">
      <c r="C3" s="96"/>
      <c r="D3" s="96"/>
      <c r="J3" s="302">
        <f ca="1">NOW()</f>
        <v>43949.388484374998</v>
      </c>
      <c r="K3" s="302"/>
      <c r="L3" s="302"/>
      <c r="M3" s="302"/>
      <c r="N3" s="302"/>
      <c r="AI3" s="210" t="str">
        <f t="shared" ref="AI3:AI5" si="0">C30</f>
        <v>Punktezahl weiterer 25 HJE</v>
      </c>
      <c r="AJ3" s="202">
        <f t="shared" ref="AJ3:AJ8" si="1">D30</f>
        <v>152</v>
      </c>
      <c r="AK3" s="99" t="str">
        <f>F30</f>
        <v xml:space="preserve"> Anzahl:</v>
      </c>
      <c r="AL3" s="203">
        <f>H30</f>
        <v>19</v>
      </c>
    </row>
    <row r="4" spans="1:47" ht="15.75" customHeight="1">
      <c r="C4" s="97" t="s">
        <v>161</v>
      </c>
      <c r="D4" s="303" t="s">
        <v>124</v>
      </c>
      <c r="E4" s="304"/>
      <c r="F4" s="305"/>
      <c r="G4" s="98"/>
      <c r="H4" s="306" t="s">
        <v>160</v>
      </c>
      <c r="I4" s="307"/>
      <c r="J4" s="307"/>
      <c r="K4" s="307"/>
      <c r="L4" s="307"/>
      <c r="M4" s="307"/>
      <c r="N4" s="307"/>
      <c r="O4" s="307"/>
      <c r="AI4" s="210" t="str">
        <f t="shared" si="0"/>
        <v>Punktezahl Fachreferat</v>
      </c>
      <c r="AJ4" s="202">
        <f t="shared" si="1"/>
        <v>4</v>
      </c>
      <c r="AK4" s="99"/>
      <c r="AL4" s="211"/>
    </row>
    <row r="5" spans="1:47">
      <c r="D5" s="308" t="s">
        <v>164</v>
      </c>
      <c r="E5" s="308"/>
      <c r="F5" s="308"/>
      <c r="G5" s="308"/>
      <c r="H5" s="308"/>
      <c r="I5" s="308"/>
      <c r="J5" s="308"/>
      <c r="K5" s="308"/>
      <c r="R5" s="94">
        <f>MAX(R7:R24)</f>
        <v>1</v>
      </c>
      <c r="AE5" s="200">
        <f>SUM(AE7:AE26)</f>
        <v>0</v>
      </c>
      <c r="AF5" s="266">
        <f>COUNT(AF8:AF14)</f>
        <v>2</v>
      </c>
      <c r="AI5" s="210" t="str">
        <f t="shared" si="0"/>
        <v>Punktezahl FPA</v>
      </c>
      <c r="AJ5" s="202">
        <f t="shared" si="1"/>
        <v>12</v>
      </c>
      <c r="AK5" s="99"/>
      <c r="AL5" s="211"/>
    </row>
    <row r="6" spans="1:47">
      <c r="A6" s="93" t="s">
        <v>115</v>
      </c>
      <c r="C6" s="99"/>
      <c r="D6" s="100" t="s">
        <v>0</v>
      </c>
      <c r="E6" s="101" t="s">
        <v>136</v>
      </c>
      <c r="F6" s="100" t="s">
        <v>1</v>
      </c>
      <c r="G6" s="101" t="s">
        <v>136</v>
      </c>
      <c r="H6" s="100" t="s">
        <v>2</v>
      </c>
      <c r="I6" s="101" t="s">
        <v>136</v>
      </c>
      <c r="J6" s="100" t="s">
        <v>3</v>
      </c>
      <c r="K6" s="101" t="s">
        <v>136</v>
      </c>
      <c r="L6" s="100" t="s">
        <v>19</v>
      </c>
      <c r="M6" s="102" t="s">
        <v>20</v>
      </c>
      <c r="N6" s="103" t="s">
        <v>167</v>
      </c>
      <c r="O6" s="104" t="s">
        <v>153</v>
      </c>
      <c r="P6" s="105"/>
      <c r="Q6" s="106" t="s">
        <v>154</v>
      </c>
      <c r="R6" s="105" t="s">
        <v>148</v>
      </c>
      <c r="S6" s="105" t="s">
        <v>153</v>
      </c>
      <c r="T6" s="105"/>
      <c r="V6" s="107" t="s">
        <v>0</v>
      </c>
      <c r="W6" s="108" t="s">
        <v>109</v>
      </c>
      <c r="X6" s="107" t="s">
        <v>1</v>
      </c>
      <c r="Y6" s="108" t="s">
        <v>110</v>
      </c>
      <c r="Z6" s="107" t="s">
        <v>2</v>
      </c>
      <c r="AA6" s="108" t="s">
        <v>111</v>
      </c>
      <c r="AB6" s="107" t="s">
        <v>3</v>
      </c>
      <c r="AC6" s="108" t="s">
        <v>112</v>
      </c>
      <c r="AD6" s="109" t="s">
        <v>147</v>
      </c>
      <c r="AE6" s="198" t="s">
        <v>177</v>
      </c>
      <c r="AF6" s="273" t="s">
        <v>197</v>
      </c>
      <c r="AI6" s="212" t="str">
        <f>C33</f>
        <v>Gesamt:</v>
      </c>
      <c r="AJ6" s="215">
        <f t="shared" si="1"/>
        <v>219</v>
      </c>
      <c r="AK6" s="99"/>
      <c r="AL6" s="211"/>
    </row>
    <row r="7" spans="1:47">
      <c r="A7" s="94">
        <v>1</v>
      </c>
      <c r="B7" s="94"/>
      <c r="C7" s="110" t="s">
        <v>4</v>
      </c>
      <c r="D7" s="31"/>
      <c r="E7" s="111"/>
      <c r="F7" s="24"/>
      <c r="G7" s="112"/>
      <c r="H7" s="39">
        <v>15</v>
      </c>
      <c r="I7" s="12"/>
      <c r="J7" s="13">
        <v>9</v>
      </c>
      <c r="K7" s="23"/>
      <c r="L7" s="21"/>
      <c r="M7" s="22"/>
      <c r="N7" s="45"/>
      <c r="O7" s="42">
        <f>IF(AND(ISERROR(S7),ISERROR(T7)),"",IF(ISNUMBER(S7),ROUND(S7,0),ROUND(T7,0)))</f>
        <v>12</v>
      </c>
      <c r="P7" s="1"/>
      <c r="Q7" s="1">
        <f t="shared" ref="Q7:Q26" si="2">IF(A7=1,O7,"")</f>
        <v>12</v>
      </c>
      <c r="R7" s="94">
        <f>COUNTIF(D7:K7,"x")</f>
        <v>0</v>
      </c>
      <c r="S7" s="93">
        <f>IF(AVERAGE(V7:AB7)&lt;1,0,AVERAGE(V7:AB7))</f>
        <v>12</v>
      </c>
      <c r="T7" s="94">
        <f>IF(AVERAGE(D7:J7)&lt;1,0,AVERAGE(D7:J7))</f>
        <v>12</v>
      </c>
      <c r="V7" s="187" t="str">
        <f t="shared" ref="V7:V24" si="3">IF(AND(ISNUMBER(D7),E7="",$A7=1),D7,"")</f>
        <v/>
      </c>
      <c r="W7" s="187"/>
      <c r="X7" s="187" t="str">
        <f t="shared" ref="X7:X24" si="4">IF(AND(ISNUMBER(F7),G7="",$A7=1),F7,"")</f>
        <v/>
      </c>
      <c r="Y7" s="187"/>
      <c r="Z7" s="187">
        <f t="shared" ref="Z7:Z24" si="5">IF(AND(ISNUMBER(H7),I7="",$A7=1),H7,"")</f>
        <v>15</v>
      </c>
      <c r="AA7" s="187"/>
      <c r="AB7" s="187">
        <f t="shared" ref="AB7:AB24" si="6">IF(AND(ISNUMBER(J7),K7="",$A7=1),J7,"")</f>
        <v>9</v>
      </c>
      <c r="AC7" s="187"/>
      <c r="AD7" s="199">
        <f>COUNT(V7:AB7)</f>
        <v>2</v>
      </c>
      <c r="AE7" s="272" t="str">
        <f>IF(Q7&lt;4,IF(Q7=0,2,1),"")</f>
        <v/>
      </c>
      <c r="AF7" s="267"/>
      <c r="AI7" s="212" t="str">
        <f t="shared" ref="AI7:AI8" si="7">C34</f>
        <v>Durchschnittsnote:</v>
      </c>
      <c r="AJ7" s="215" t="str">
        <f t="shared" si="1"/>
        <v/>
      </c>
      <c r="AK7" s="271">
        <f>F34</f>
        <v>3.8416666666666668</v>
      </c>
      <c r="AL7" s="211"/>
    </row>
    <row r="8" spans="1:47" ht="16.5" thickBot="1">
      <c r="A8" s="94">
        <v>1</v>
      </c>
      <c r="B8" s="94"/>
      <c r="C8" s="114" t="s">
        <v>5</v>
      </c>
      <c r="D8" s="32"/>
      <c r="E8" s="115"/>
      <c r="F8" s="8">
        <v>8</v>
      </c>
      <c r="G8" s="7"/>
      <c r="H8" s="33">
        <v>5</v>
      </c>
      <c r="I8" s="7"/>
      <c r="J8" s="8">
        <v>10</v>
      </c>
      <c r="K8" s="7"/>
      <c r="L8" s="9">
        <v>2</v>
      </c>
      <c r="M8" s="5">
        <v>4</v>
      </c>
      <c r="N8" s="116">
        <f>IF(ISBLANK(L8),"",IF(ISBLANK(M8),L8,IF((L8*2+M8)/3&lt;1,0,ROUND((L8*2+M8)/3,0))))</f>
        <v>3</v>
      </c>
      <c r="O8" s="43">
        <f>IF(ISBLANK(L8),"",IF(AND(ISERROR(S8),ISERROR(T8)),"",IF(ISNUMBER(S8),ROUND(S8,0),ROUND(T8,0))))</f>
        <v>5</v>
      </c>
      <c r="P8" s="1"/>
      <c r="Q8" s="1">
        <f t="shared" si="2"/>
        <v>5</v>
      </c>
      <c r="R8" s="94">
        <f t="shared" ref="R8:R24" si="8">COUNTIF(D8:K8,"x")</f>
        <v>0</v>
      </c>
      <c r="S8" s="117">
        <f>IF((3*N8+SUM(V8:AB8))/(AD8+3)&lt;1,0,(3*N8+SUM(V8:AB8))/(AD8+3))</f>
        <v>5.333333333333333</v>
      </c>
      <c r="T8" s="94">
        <f t="shared" ref="T8:T14" si="9">AVERAGE(D8:J8)</f>
        <v>7.666666666666667</v>
      </c>
      <c r="V8" s="187" t="str">
        <f t="shared" si="3"/>
        <v/>
      </c>
      <c r="W8" s="187"/>
      <c r="X8" s="187">
        <f t="shared" si="4"/>
        <v>8</v>
      </c>
      <c r="Y8" s="187"/>
      <c r="Z8" s="187">
        <f t="shared" si="5"/>
        <v>5</v>
      </c>
      <c r="AA8" s="187"/>
      <c r="AB8" s="187">
        <f t="shared" si="6"/>
        <v>10</v>
      </c>
      <c r="AC8" s="187"/>
      <c r="AD8" s="199">
        <f t="shared" ref="AD8:AD24" si="10">COUNT(V8:AB8)</f>
        <v>3</v>
      </c>
      <c r="AE8" s="272"/>
      <c r="AF8" s="267">
        <f>IF(M8="","",M8)</f>
        <v>4</v>
      </c>
      <c r="AI8" s="225" t="str">
        <f t="shared" si="7"/>
        <v>Fachabitur:</v>
      </c>
      <c r="AJ8" s="226" t="str">
        <f t="shared" si="1"/>
        <v>nicht bestanden</v>
      </c>
      <c r="AK8" s="227"/>
      <c r="AL8" s="228"/>
    </row>
    <row r="9" spans="1:47">
      <c r="A9" s="94">
        <v>1</v>
      </c>
      <c r="B9" s="94"/>
      <c r="C9" s="114" t="s">
        <v>6</v>
      </c>
      <c r="D9" s="32"/>
      <c r="E9" s="115"/>
      <c r="F9" s="8">
        <v>9</v>
      </c>
      <c r="G9" s="7"/>
      <c r="H9" s="33">
        <v>2</v>
      </c>
      <c r="I9" s="7" t="s">
        <v>136</v>
      </c>
      <c r="J9" s="8">
        <v>4</v>
      </c>
      <c r="K9" s="7"/>
      <c r="L9" s="9">
        <v>6</v>
      </c>
      <c r="M9" s="5">
        <v>9</v>
      </c>
      <c r="N9" s="116">
        <f>IF(ISBLANK(L9),"",IF(ISBLANK(M9),L9,IF((L9*2+M9)/3&lt;1,0,ROUND((L9*2+M9)/3,0))))</f>
        <v>7</v>
      </c>
      <c r="O9" s="43">
        <f>IF(ISBLANK(L9),"",IF(AND(ISERROR(S9),ISERROR(T9)),"",IF(ISNUMBER(S9),ROUND(S9,0),ROUND(T9,0))))</f>
        <v>7</v>
      </c>
      <c r="P9" s="1"/>
      <c r="Q9" s="1">
        <f t="shared" si="2"/>
        <v>7</v>
      </c>
      <c r="R9" s="94">
        <f t="shared" si="8"/>
        <v>1</v>
      </c>
      <c r="S9" s="117">
        <f t="shared" ref="S9:S10" si="11">IF((3*N9+SUM(V9:AB9))/(AD9+3)&lt;1,0,(3*N9+SUM(V9:AB9))/(AD9+3))</f>
        <v>6.8</v>
      </c>
      <c r="T9" s="94">
        <f t="shared" si="9"/>
        <v>5</v>
      </c>
      <c r="V9" s="187" t="str">
        <f t="shared" si="3"/>
        <v/>
      </c>
      <c r="W9" s="187"/>
      <c r="X9" s="187">
        <f t="shared" si="4"/>
        <v>9</v>
      </c>
      <c r="Y9" s="187"/>
      <c r="Z9" s="187" t="str">
        <f t="shared" si="5"/>
        <v/>
      </c>
      <c r="AA9" s="187"/>
      <c r="AB9" s="187">
        <f t="shared" si="6"/>
        <v>4</v>
      </c>
      <c r="AC9" s="187"/>
      <c r="AD9" s="199">
        <f t="shared" si="10"/>
        <v>2</v>
      </c>
      <c r="AE9" s="272"/>
      <c r="AF9" s="267">
        <f t="shared" ref="AF9:AF14" si="12">IF(M9="","",M9)</f>
        <v>9</v>
      </c>
      <c r="AI9" s="229" t="s">
        <v>171</v>
      </c>
      <c r="AJ9" s="285"/>
      <c r="AK9" s="285"/>
      <c r="AL9" s="286"/>
    </row>
    <row r="10" spans="1:47">
      <c r="A10" s="94">
        <v>1</v>
      </c>
      <c r="B10" s="94"/>
      <c r="C10" s="114" t="s">
        <v>9</v>
      </c>
      <c r="D10" s="32"/>
      <c r="E10" s="115"/>
      <c r="F10" s="8">
        <v>5</v>
      </c>
      <c r="G10" s="7"/>
      <c r="H10" s="33">
        <v>7</v>
      </c>
      <c r="I10" s="7"/>
      <c r="J10" s="8">
        <v>3</v>
      </c>
      <c r="K10" s="7"/>
      <c r="L10" s="9">
        <v>3</v>
      </c>
      <c r="M10" s="5"/>
      <c r="N10" s="116">
        <f>IF(ISBLANK(L10),"",IF(ISBLANK(M10),L10,IF((L10*2+M10)/3&lt;1,0,ROUND((L10*2+M10)/3,0))))</f>
        <v>3</v>
      </c>
      <c r="O10" s="43">
        <f>IF(ISBLANK(L10),"",IF(AND(ISERROR(S10),ISERROR(T10)),"",IF(ISNUMBER(S10),ROUND(S10,0),ROUND(T10,0))))</f>
        <v>4</v>
      </c>
      <c r="P10" s="1"/>
      <c r="Q10" s="1">
        <f t="shared" si="2"/>
        <v>4</v>
      </c>
      <c r="R10" s="94">
        <f t="shared" si="8"/>
        <v>0</v>
      </c>
      <c r="S10" s="117">
        <f t="shared" si="11"/>
        <v>4</v>
      </c>
      <c r="T10" s="94">
        <f t="shared" si="9"/>
        <v>5</v>
      </c>
      <c r="V10" s="187" t="str">
        <f t="shared" si="3"/>
        <v/>
      </c>
      <c r="W10" s="187"/>
      <c r="X10" s="187">
        <f t="shared" si="4"/>
        <v>5</v>
      </c>
      <c r="Y10" s="187"/>
      <c r="Z10" s="187">
        <f t="shared" si="5"/>
        <v>7</v>
      </c>
      <c r="AA10" s="187"/>
      <c r="AB10" s="187">
        <f t="shared" si="6"/>
        <v>3</v>
      </c>
      <c r="AC10" s="187"/>
      <c r="AD10" s="199">
        <f t="shared" si="10"/>
        <v>3</v>
      </c>
      <c r="AE10" s="272"/>
      <c r="AF10" s="267" t="str">
        <f t="shared" si="12"/>
        <v/>
      </c>
      <c r="AI10" s="210" t="str">
        <f>C38</f>
        <v>Prüfungsergebnisse</v>
      </c>
      <c r="AJ10" s="222" t="str">
        <f>D38</f>
        <v>erfüllt</v>
      </c>
      <c r="AK10" s="160" t="s">
        <v>182</v>
      </c>
      <c r="AL10" s="230">
        <f>N37</f>
        <v>2</v>
      </c>
    </row>
    <row r="11" spans="1:47" ht="16.5" thickBot="1">
      <c r="A11" s="94">
        <v>1</v>
      </c>
      <c r="B11" s="94"/>
      <c r="C11" s="114" t="s">
        <v>7</v>
      </c>
      <c r="D11" s="33">
        <v>10</v>
      </c>
      <c r="E11" s="7"/>
      <c r="F11" s="8">
        <v>7</v>
      </c>
      <c r="G11" s="7"/>
      <c r="H11" s="32"/>
      <c r="I11" s="115"/>
      <c r="J11" s="2"/>
      <c r="K11" s="115"/>
      <c r="L11" s="10"/>
      <c r="M11" s="6"/>
      <c r="N11" s="118"/>
      <c r="O11" s="43">
        <f t="shared" ref="O11:O24" si="13">IF(AND(ISERROR(S11),ISERROR(T11)),"",IF(ISNUMBER(S11),ROUND(S11,0),ROUND(T11,0)))</f>
        <v>9</v>
      </c>
      <c r="P11" s="1"/>
      <c r="Q11" s="1">
        <f t="shared" si="2"/>
        <v>9</v>
      </c>
      <c r="R11" s="94">
        <f t="shared" si="8"/>
        <v>0</v>
      </c>
      <c r="S11" s="93">
        <f>IF(AVERAGE(V11:AB11)&lt;1,0,AVERAGE(V11:AB11))</f>
        <v>8.5</v>
      </c>
      <c r="T11" s="94">
        <f>IF(AVERAGE(D11:J11)&lt;1,0,AVERAGE(D11:J11))</f>
        <v>8.5</v>
      </c>
      <c r="V11" s="187">
        <f t="shared" si="3"/>
        <v>10</v>
      </c>
      <c r="W11" s="187"/>
      <c r="X11" s="187">
        <f t="shared" si="4"/>
        <v>7</v>
      </c>
      <c r="Y11" s="187"/>
      <c r="Z11" s="187" t="str">
        <f t="shared" si="5"/>
        <v/>
      </c>
      <c r="AA11" s="187"/>
      <c r="AB11" s="187" t="str">
        <f t="shared" si="6"/>
        <v/>
      </c>
      <c r="AC11" s="187"/>
      <c r="AD11" s="199">
        <f t="shared" si="10"/>
        <v>2</v>
      </c>
      <c r="AE11" s="272" t="str">
        <f t="shared" ref="AE11:AE26" si="14">IF(Q11&lt;4,IF(Q11=0,2,1),"")</f>
        <v/>
      </c>
      <c r="AF11" s="267"/>
      <c r="AI11" s="218" t="str">
        <f>C39</f>
        <v>Gesamtergebnisse</v>
      </c>
      <c r="AJ11" s="213" t="b">
        <f>D39</f>
        <v>0</v>
      </c>
      <c r="AK11" s="219" t="s">
        <v>182</v>
      </c>
      <c r="AL11" s="220">
        <f>M37</f>
        <v>0</v>
      </c>
    </row>
    <row r="12" spans="1:47">
      <c r="A12" s="94">
        <v>1</v>
      </c>
      <c r="B12" s="94"/>
      <c r="C12" s="114" t="s">
        <v>8</v>
      </c>
      <c r="D12" s="32"/>
      <c r="E12" s="115"/>
      <c r="F12" s="2"/>
      <c r="G12" s="115"/>
      <c r="H12" s="33">
        <v>4</v>
      </c>
      <c r="I12" s="7"/>
      <c r="J12" s="8">
        <v>3</v>
      </c>
      <c r="K12" s="7" t="s">
        <v>136</v>
      </c>
      <c r="L12" s="10"/>
      <c r="M12" s="6"/>
      <c r="N12" s="118"/>
      <c r="O12" s="43">
        <f t="shared" si="13"/>
        <v>4</v>
      </c>
      <c r="P12" s="1"/>
      <c r="Q12" s="1">
        <f t="shared" si="2"/>
        <v>4</v>
      </c>
      <c r="R12" s="94">
        <f t="shared" si="8"/>
        <v>1</v>
      </c>
      <c r="S12" s="93">
        <f>IF(AVERAGE(V12:AB12)&lt;1,0,AVERAGE(V12:AB12))</f>
        <v>4</v>
      </c>
      <c r="T12" s="94">
        <f>IF(AVERAGE(D12:J12)&lt;1,0,AVERAGE(D12:J12))</f>
        <v>3.5</v>
      </c>
      <c r="V12" s="187" t="str">
        <f t="shared" si="3"/>
        <v/>
      </c>
      <c r="W12" s="187"/>
      <c r="X12" s="187" t="str">
        <f t="shared" si="4"/>
        <v/>
      </c>
      <c r="Y12" s="187"/>
      <c r="Z12" s="187">
        <f t="shared" si="5"/>
        <v>4</v>
      </c>
      <c r="AA12" s="187"/>
      <c r="AB12" s="187" t="str">
        <f t="shared" si="6"/>
        <v/>
      </c>
      <c r="AC12" s="187"/>
      <c r="AD12" s="199">
        <f t="shared" si="10"/>
        <v>1</v>
      </c>
      <c r="AE12" s="272" t="str">
        <f t="shared" si="14"/>
        <v/>
      </c>
      <c r="AF12" s="267"/>
      <c r="AJ12" s="94"/>
      <c r="AK12" s="205"/>
    </row>
    <row r="13" spans="1:47">
      <c r="A13" s="94">
        <v>0</v>
      </c>
      <c r="B13" s="94"/>
      <c r="C13" s="119" t="s">
        <v>130</v>
      </c>
      <c r="D13" s="34"/>
      <c r="E13" s="120"/>
      <c r="F13" s="17"/>
      <c r="G13" s="120"/>
      <c r="H13" s="40">
        <v>1</v>
      </c>
      <c r="I13" s="16"/>
      <c r="J13" s="18">
        <v>1</v>
      </c>
      <c r="K13" s="16"/>
      <c r="L13" s="19"/>
      <c r="M13" s="20"/>
      <c r="N13" s="121"/>
      <c r="O13" s="197">
        <f t="shared" si="13"/>
        <v>1</v>
      </c>
      <c r="P13" s="1"/>
      <c r="Q13" s="1" t="str">
        <f t="shared" si="2"/>
        <v/>
      </c>
      <c r="R13" s="94">
        <f t="shared" si="8"/>
        <v>0</v>
      </c>
      <c r="S13" s="93" t="e">
        <f>IF(AVERAGE(V13:AB13)&lt;1,0,AVERAGE(V13:AB13))</f>
        <v>#DIV/0!</v>
      </c>
      <c r="T13" s="94">
        <f>IF(AVERAGE(D13:J13)&lt;1,0,AVERAGE(D13:J13))</f>
        <v>1</v>
      </c>
      <c r="V13" s="187" t="str">
        <f t="shared" si="3"/>
        <v/>
      </c>
      <c r="W13" s="187"/>
      <c r="X13" s="187" t="str">
        <f t="shared" si="4"/>
        <v/>
      </c>
      <c r="Y13" s="187"/>
      <c r="Z13" s="187" t="str">
        <f t="shared" si="5"/>
        <v/>
      </c>
      <c r="AA13" s="187"/>
      <c r="AB13" s="187" t="str">
        <f t="shared" si="6"/>
        <v/>
      </c>
      <c r="AC13" s="187"/>
      <c r="AD13" s="199">
        <f t="shared" si="10"/>
        <v>0</v>
      </c>
      <c r="AE13" s="272" t="str">
        <f t="shared" si="14"/>
        <v/>
      </c>
      <c r="AF13" s="267"/>
      <c r="AI13" s="287" t="s">
        <v>160</v>
      </c>
      <c r="AJ13" s="287"/>
      <c r="AK13" s="287"/>
      <c r="AL13" s="287"/>
      <c r="AM13" s="221"/>
      <c r="AN13" s="221"/>
      <c r="AO13" s="221"/>
      <c r="AP13" s="221"/>
      <c r="AQ13" s="221"/>
      <c r="AR13" s="221"/>
      <c r="AS13" s="221"/>
      <c r="AT13" s="221"/>
      <c r="AU13" s="221"/>
    </row>
    <row r="14" spans="1:47">
      <c r="A14" s="94">
        <f>IF(C14="-",0,1)</f>
        <v>1</v>
      </c>
      <c r="B14" s="94"/>
      <c r="C14" s="122" t="str">
        <f>VLOOKUP($D$4,Hinweise!$G$4:$N$10,3,FALSE)</f>
        <v>Päd./Psy.</v>
      </c>
      <c r="D14" s="31"/>
      <c r="E14" s="111"/>
      <c r="F14" s="13">
        <v>3</v>
      </c>
      <c r="G14" s="12"/>
      <c r="H14" s="39">
        <v>3</v>
      </c>
      <c r="I14" s="12" t="s">
        <v>136</v>
      </c>
      <c r="J14" s="13">
        <v>8</v>
      </c>
      <c r="K14" s="12"/>
      <c r="L14" s="14">
        <v>4</v>
      </c>
      <c r="M14" s="15"/>
      <c r="N14" s="123">
        <f>IF(ISBLANK(L14),"",IF(ISBLANK(M14),L14,IF((L14*2+M14)/3&lt;1,0,ROUND((L14*2+M14)/3,0))))</f>
        <v>4</v>
      </c>
      <c r="O14" s="42">
        <f>IF(ISBLANK(L14),"",IF(AND(ISERROR(S14),ISERROR(T14)),"",IF(ISNUMBER(S14),ROUND(S14,0),ROUND(T14,0))))</f>
        <v>5</v>
      </c>
      <c r="P14" s="1"/>
      <c r="Q14" s="1">
        <f t="shared" si="2"/>
        <v>5</v>
      </c>
      <c r="R14" s="94">
        <f t="shared" si="8"/>
        <v>1</v>
      </c>
      <c r="S14" s="117">
        <f t="shared" ref="S14" si="15">IF((3*N14+SUM(V14:AB14))/(AD14+3)&lt;1,0,(3*N14+SUM(V14:AB14))/(AD14+3))</f>
        <v>4.5999999999999996</v>
      </c>
      <c r="T14" s="94">
        <f t="shared" si="9"/>
        <v>4.666666666666667</v>
      </c>
      <c r="V14" s="187" t="str">
        <f t="shared" si="3"/>
        <v/>
      </c>
      <c r="W14" s="187"/>
      <c r="X14" s="187">
        <f t="shared" si="4"/>
        <v>3</v>
      </c>
      <c r="Y14" s="187"/>
      <c r="Z14" s="187" t="str">
        <f t="shared" si="5"/>
        <v/>
      </c>
      <c r="AA14" s="187"/>
      <c r="AB14" s="187">
        <f t="shared" si="6"/>
        <v>8</v>
      </c>
      <c r="AC14" s="187"/>
      <c r="AD14" s="199">
        <f t="shared" si="10"/>
        <v>2</v>
      </c>
      <c r="AE14" s="272"/>
      <c r="AF14" s="267" t="str">
        <f t="shared" si="12"/>
        <v/>
      </c>
    </row>
    <row r="15" spans="1:47">
      <c r="A15" s="94">
        <f t="shared" ref="A15:A21" si="16">IF(C15="-",0,1)</f>
        <v>1</v>
      </c>
      <c r="B15" s="94"/>
      <c r="C15" s="124" t="str">
        <f>VLOOKUP($D$4,Hinweise!$G$4:$N$10,4,FALSE)</f>
        <v>Sozialwirtschaft und Recht</v>
      </c>
      <c r="D15" s="32"/>
      <c r="E15" s="115"/>
      <c r="F15" s="8">
        <v>3</v>
      </c>
      <c r="G15" s="7" t="s">
        <v>136</v>
      </c>
      <c r="H15" s="33">
        <v>8</v>
      </c>
      <c r="I15" s="7"/>
      <c r="J15" s="8">
        <v>7</v>
      </c>
      <c r="K15" s="7"/>
      <c r="L15" s="10"/>
      <c r="M15" s="6"/>
      <c r="N15" s="46"/>
      <c r="O15" s="43">
        <f t="shared" si="13"/>
        <v>8</v>
      </c>
      <c r="P15" s="1"/>
      <c r="Q15" s="1">
        <f t="shared" si="2"/>
        <v>8</v>
      </c>
      <c r="R15" s="94">
        <f t="shared" si="8"/>
        <v>1</v>
      </c>
      <c r="S15" s="93">
        <f>IF(AVERAGE(V15:AB15)&lt;1,0,AVERAGE(V15:AB15))</f>
        <v>7.5</v>
      </c>
      <c r="T15" s="94">
        <f>IF(AVERAGE(D15:J15)&lt;1,0,AVERAGE(D15:J15))</f>
        <v>6</v>
      </c>
      <c r="V15" s="187" t="str">
        <f t="shared" si="3"/>
        <v/>
      </c>
      <c r="W15" s="187"/>
      <c r="X15" s="187" t="str">
        <f t="shared" si="4"/>
        <v/>
      </c>
      <c r="Y15" s="187"/>
      <c r="Z15" s="187">
        <f t="shared" si="5"/>
        <v>8</v>
      </c>
      <c r="AA15" s="187"/>
      <c r="AB15" s="187">
        <f t="shared" si="6"/>
        <v>7</v>
      </c>
      <c r="AC15" s="187"/>
      <c r="AD15" s="199">
        <f t="shared" si="10"/>
        <v>2</v>
      </c>
      <c r="AE15" s="199" t="str">
        <f t="shared" si="14"/>
        <v/>
      </c>
    </row>
    <row r="16" spans="1:47" hidden="1">
      <c r="A16" s="94">
        <f t="shared" si="16"/>
        <v>0</v>
      </c>
      <c r="B16" s="94"/>
      <c r="C16" s="124" t="str">
        <f>VLOOKUP($D$4,Hinweise!$G$4:$N$10,5,FALSE)</f>
        <v>-</v>
      </c>
      <c r="D16" s="32"/>
      <c r="E16" s="115"/>
      <c r="F16" s="125"/>
      <c r="G16" s="115"/>
      <c r="H16" s="33"/>
      <c r="I16" s="7"/>
      <c r="J16" s="8"/>
      <c r="K16" s="7"/>
      <c r="L16" s="10"/>
      <c r="M16" s="6"/>
      <c r="N16" s="46"/>
      <c r="O16" s="43" t="str">
        <f t="shared" si="13"/>
        <v/>
      </c>
      <c r="P16" s="1"/>
      <c r="Q16" s="1" t="str">
        <f t="shared" si="2"/>
        <v/>
      </c>
      <c r="R16" s="94">
        <f t="shared" si="8"/>
        <v>0</v>
      </c>
      <c r="S16" s="93" t="e">
        <f t="shared" ref="S16:S24" si="17">IF(AVERAGE(V16:AB16)&lt;1,0,AVERAGE(V16:AB16))</f>
        <v>#DIV/0!</v>
      </c>
      <c r="T16" s="94" t="e">
        <f t="shared" ref="T16:T24" si="18">IF(AVERAGE(D16:J16)&lt;1,0,AVERAGE(D16:J16))</f>
        <v>#DIV/0!</v>
      </c>
      <c r="V16" s="187" t="str">
        <f t="shared" si="3"/>
        <v/>
      </c>
      <c r="W16" s="187"/>
      <c r="X16" s="187" t="str">
        <f t="shared" si="4"/>
        <v/>
      </c>
      <c r="Y16" s="187"/>
      <c r="Z16" s="187" t="str">
        <f t="shared" si="5"/>
        <v/>
      </c>
      <c r="AA16" s="187"/>
      <c r="AB16" s="187" t="str">
        <f t="shared" si="6"/>
        <v/>
      </c>
      <c r="AC16" s="187"/>
      <c r="AD16" s="199">
        <f t="shared" si="10"/>
        <v>0</v>
      </c>
      <c r="AE16" s="199" t="str">
        <f t="shared" si="14"/>
        <v/>
      </c>
    </row>
    <row r="17" spans="1:31">
      <c r="A17" s="94">
        <f t="shared" si="16"/>
        <v>1</v>
      </c>
      <c r="B17" s="94"/>
      <c r="C17" s="124" t="str">
        <f>VLOOKUP($D$4,Hinweise!$G$4:$N$10,6,FALSE)</f>
        <v>Chemie</v>
      </c>
      <c r="D17" s="33"/>
      <c r="E17" s="7"/>
      <c r="F17" s="8"/>
      <c r="G17" s="7"/>
      <c r="H17" s="4"/>
      <c r="I17" s="115"/>
      <c r="J17" s="3"/>
      <c r="K17" s="115"/>
      <c r="L17" s="10"/>
      <c r="M17" s="6"/>
      <c r="N17" s="46"/>
      <c r="O17" s="43" t="str">
        <f t="shared" si="13"/>
        <v/>
      </c>
      <c r="P17" s="1"/>
      <c r="Q17" s="1" t="str">
        <f t="shared" si="2"/>
        <v/>
      </c>
      <c r="R17" s="94">
        <f t="shared" si="8"/>
        <v>0</v>
      </c>
      <c r="S17" s="93" t="e">
        <f t="shared" si="17"/>
        <v>#DIV/0!</v>
      </c>
      <c r="T17" s="94" t="e">
        <f t="shared" si="18"/>
        <v>#DIV/0!</v>
      </c>
      <c r="V17" s="187" t="str">
        <f t="shared" si="3"/>
        <v/>
      </c>
      <c r="W17" s="187"/>
      <c r="X17" s="187" t="str">
        <f t="shared" si="4"/>
        <v/>
      </c>
      <c r="Y17" s="187"/>
      <c r="Z17" s="187" t="str">
        <f t="shared" si="5"/>
        <v/>
      </c>
      <c r="AA17" s="187"/>
      <c r="AB17" s="187" t="str">
        <f t="shared" si="6"/>
        <v/>
      </c>
      <c r="AC17" s="187"/>
      <c r="AD17" s="199">
        <f t="shared" si="10"/>
        <v>0</v>
      </c>
      <c r="AE17" s="199" t="str">
        <f t="shared" si="14"/>
        <v/>
      </c>
    </row>
    <row r="18" spans="1:31" hidden="1">
      <c r="A18" s="94">
        <f t="shared" si="16"/>
        <v>0</v>
      </c>
      <c r="B18" s="94"/>
      <c r="C18" s="124" t="str">
        <f>VLOOKUP($D$4,Hinweise!$G$4:$N$10,7,FALSE)</f>
        <v>-</v>
      </c>
      <c r="D18" s="126"/>
      <c r="E18" s="115"/>
      <c r="F18" s="8"/>
      <c r="G18" s="7"/>
      <c r="H18" s="33"/>
      <c r="I18" s="7"/>
      <c r="J18" s="8"/>
      <c r="K18" s="7"/>
      <c r="L18" s="10"/>
      <c r="M18" s="6"/>
      <c r="N18" s="46"/>
      <c r="O18" s="43" t="str">
        <f t="shared" si="13"/>
        <v/>
      </c>
      <c r="P18" s="1"/>
      <c r="Q18" s="1" t="str">
        <f t="shared" si="2"/>
        <v/>
      </c>
      <c r="R18" s="94">
        <f t="shared" si="8"/>
        <v>0</v>
      </c>
      <c r="S18" s="93" t="e">
        <f t="shared" si="17"/>
        <v>#DIV/0!</v>
      </c>
      <c r="T18" s="94" t="e">
        <f t="shared" si="18"/>
        <v>#DIV/0!</v>
      </c>
      <c r="V18" s="187" t="str">
        <f t="shared" si="3"/>
        <v/>
      </c>
      <c r="W18" s="187"/>
      <c r="X18" s="187" t="str">
        <f t="shared" si="4"/>
        <v/>
      </c>
      <c r="Y18" s="187"/>
      <c r="Z18" s="187" t="str">
        <f t="shared" si="5"/>
        <v/>
      </c>
      <c r="AA18" s="187"/>
      <c r="AB18" s="187" t="str">
        <f t="shared" si="6"/>
        <v/>
      </c>
      <c r="AC18" s="187"/>
      <c r="AD18" s="199">
        <f t="shared" si="10"/>
        <v>0</v>
      </c>
      <c r="AE18" s="199" t="str">
        <f t="shared" si="14"/>
        <v/>
      </c>
    </row>
    <row r="19" spans="1:31" hidden="1">
      <c r="A19" s="94">
        <f t="shared" si="16"/>
        <v>0</v>
      </c>
      <c r="B19" s="94"/>
      <c r="C19" s="124" t="str">
        <f>VLOOKUP($D$4,Hinweise!$G$4:$P$10,8,FALSE)</f>
        <v>-</v>
      </c>
      <c r="D19" s="32"/>
      <c r="E19" s="115"/>
      <c r="F19" s="8"/>
      <c r="G19" s="7"/>
      <c r="H19" s="33"/>
      <c r="I19" s="7"/>
      <c r="J19" s="8"/>
      <c r="K19" s="7"/>
      <c r="L19" s="10"/>
      <c r="M19" s="6"/>
      <c r="N19" s="46"/>
      <c r="O19" s="43" t="str">
        <f t="shared" si="13"/>
        <v/>
      </c>
      <c r="P19" s="1"/>
      <c r="Q19" s="1" t="str">
        <f t="shared" si="2"/>
        <v/>
      </c>
      <c r="R19" s="94">
        <f t="shared" si="8"/>
        <v>0</v>
      </c>
      <c r="S19" s="93" t="e">
        <f t="shared" si="17"/>
        <v>#DIV/0!</v>
      </c>
      <c r="T19" s="94" t="e">
        <f t="shared" si="18"/>
        <v>#DIV/0!</v>
      </c>
      <c r="V19" s="187" t="str">
        <f t="shared" si="3"/>
        <v/>
      </c>
      <c r="W19" s="187"/>
      <c r="X19" s="187" t="str">
        <f t="shared" si="4"/>
        <v/>
      </c>
      <c r="Y19" s="187"/>
      <c r="Z19" s="187" t="str">
        <f t="shared" si="5"/>
        <v/>
      </c>
      <c r="AA19" s="187"/>
      <c r="AB19" s="187" t="str">
        <f t="shared" si="6"/>
        <v/>
      </c>
      <c r="AC19" s="187"/>
      <c r="AD19" s="199">
        <f t="shared" si="10"/>
        <v>0</v>
      </c>
      <c r="AE19" s="199" t="str">
        <f t="shared" si="14"/>
        <v/>
      </c>
    </row>
    <row r="20" spans="1:31">
      <c r="A20" s="94">
        <f t="shared" si="16"/>
        <v>1</v>
      </c>
      <c r="B20" s="94"/>
      <c r="C20" s="124" t="str">
        <f>VLOOKUP($D$4,Hinweise!$G$4:$P$10,9,FALSE)</f>
        <v>Biologie</v>
      </c>
      <c r="D20" s="32"/>
      <c r="E20" s="115"/>
      <c r="F20" s="2"/>
      <c r="G20" s="115"/>
      <c r="H20" s="33">
        <v>15</v>
      </c>
      <c r="I20" s="7"/>
      <c r="J20" s="8">
        <v>15</v>
      </c>
      <c r="K20" s="7"/>
      <c r="L20" s="10"/>
      <c r="M20" s="6"/>
      <c r="N20" s="46"/>
      <c r="O20" s="43">
        <f t="shared" si="13"/>
        <v>15</v>
      </c>
      <c r="P20" s="1"/>
      <c r="Q20" s="1">
        <f t="shared" si="2"/>
        <v>15</v>
      </c>
      <c r="R20" s="94">
        <f t="shared" si="8"/>
        <v>0</v>
      </c>
      <c r="S20" s="93">
        <f t="shared" si="17"/>
        <v>15</v>
      </c>
      <c r="T20" s="94">
        <f t="shared" si="18"/>
        <v>15</v>
      </c>
      <c r="V20" s="187" t="str">
        <f t="shared" si="3"/>
        <v/>
      </c>
      <c r="W20" s="187"/>
      <c r="X20" s="187" t="str">
        <f t="shared" si="4"/>
        <v/>
      </c>
      <c r="Y20" s="187"/>
      <c r="Z20" s="187">
        <f t="shared" si="5"/>
        <v>15</v>
      </c>
      <c r="AA20" s="187"/>
      <c r="AB20" s="187">
        <f t="shared" si="6"/>
        <v>15</v>
      </c>
      <c r="AC20" s="187"/>
      <c r="AD20" s="199">
        <f t="shared" si="10"/>
        <v>2</v>
      </c>
      <c r="AE20" s="199" t="str">
        <f t="shared" si="14"/>
        <v/>
      </c>
    </row>
    <row r="21" spans="1:31">
      <c r="A21" s="94">
        <f t="shared" si="16"/>
        <v>1</v>
      </c>
      <c r="B21" s="94"/>
      <c r="C21" s="127" t="str">
        <f>VLOOKUP($D$4,Hinweise!$G$4:$P$10,10,FALSE)</f>
        <v>Soziologie</v>
      </c>
      <c r="D21" s="48"/>
      <c r="E21" s="128"/>
      <c r="F21" s="11"/>
      <c r="G21" s="128"/>
      <c r="H21" s="50"/>
      <c r="I21" s="49"/>
      <c r="J21" s="51"/>
      <c r="K21" s="49"/>
      <c r="L21" s="52"/>
      <c r="M21" s="53"/>
      <c r="N21" s="54"/>
      <c r="O21" s="55" t="str">
        <f t="shared" si="13"/>
        <v/>
      </c>
      <c r="P21" s="1"/>
      <c r="Q21" s="1" t="str">
        <f t="shared" si="2"/>
        <v/>
      </c>
      <c r="R21" s="94">
        <f t="shared" si="8"/>
        <v>0</v>
      </c>
      <c r="S21" s="93" t="e">
        <f t="shared" si="17"/>
        <v>#DIV/0!</v>
      </c>
      <c r="T21" s="94" t="e">
        <f t="shared" si="18"/>
        <v>#DIV/0!</v>
      </c>
      <c r="V21" s="187" t="str">
        <f t="shared" si="3"/>
        <v/>
      </c>
      <c r="W21" s="187"/>
      <c r="X21" s="187" t="str">
        <f t="shared" si="4"/>
        <v/>
      </c>
      <c r="Y21" s="187"/>
      <c r="Z21" s="187" t="str">
        <f t="shared" si="5"/>
        <v/>
      </c>
      <c r="AA21" s="187"/>
      <c r="AB21" s="187" t="str">
        <f t="shared" si="6"/>
        <v/>
      </c>
      <c r="AC21" s="187"/>
      <c r="AD21" s="199">
        <f t="shared" si="10"/>
        <v>0</v>
      </c>
      <c r="AE21" s="199" t="str">
        <f t="shared" si="14"/>
        <v/>
      </c>
    </row>
    <row r="22" spans="1:31">
      <c r="A22" s="94">
        <f>IF(OR(C22="-",VLOOKUP(C22,Hinweise!$C$6:$D$37,2,FALSE)=0),0,1)</f>
        <v>0</v>
      </c>
      <c r="B22" s="94"/>
      <c r="C22" s="37" t="s">
        <v>176</v>
      </c>
      <c r="D22" s="35"/>
      <c r="E22" s="112"/>
      <c r="F22" s="24"/>
      <c r="G22" s="112"/>
      <c r="H22" s="41">
        <v>3</v>
      </c>
      <c r="I22" s="23"/>
      <c r="J22" s="25">
        <v>5</v>
      </c>
      <c r="K22" s="23"/>
      <c r="L22" s="26"/>
      <c r="M22" s="27"/>
      <c r="N22" s="45"/>
      <c r="O22" s="56">
        <f t="shared" si="13"/>
        <v>4</v>
      </c>
      <c r="P22" s="1"/>
      <c r="Q22" s="1" t="str">
        <f t="shared" si="2"/>
        <v/>
      </c>
      <c r="R22" s="94">
        <f t="shared" si="8"/>
        <v>0</v>
      </c>
      <c r="S22" s="93" t="e">
        <f t="shared" si="17"/>
        <v>#DIV/0!</v>
      </c>
      <c r="T22" s="94">
        <f t="shared" si="18"/>
        <v>4</v>
      </c>
      <c r="V22" s="187" t="str">
        <f t="shared" si="3"/>
        <v/>
      </c>
      <c r="W22" s="187"/>
      <c r="X22" s="187" t="str">
        <f t="shared" si="4"/>
        <v/>
      </c>
      <c r="Y22" s="187"/>
      <c r="Z22" s="187" t="str">
        <f t="shared" si="5"/>
        <v/>
      </c>
      <c r="AA22" s="187"/>
      <c r="AB22" s="187" t="str">
        <f t="shared" si="6"/>
        <v/>
      </c>
      <c r="AC22" s="187"/>
      <c r="AD22" s="199">
        <f t="shared" si="10"/>
        <v>0</v>
      </c>
      <c r="AE22" s="199" t="str">
        <f t="shared" si="14"/>
        <v/>
      </c>
    </row>
    <row r="23" spans="1:31">
      <c r="A23" s="94">
        <f>IF(OR(C23="-",VLOOKUP(C23,Hinweise!$C$6:$D$37,2,FALSE)=0),0,1)</f>
        <v>0</v>
      </c>
      <c r="B23" s="94"/>
      <c r="C23" s="38" t="s">
        <v>176</v>
      </c>
      <c r="D23" s="32"/>
      <c r="E23" s="115"/>
      <c r="F23" s="2"/>
      <c r="G23" s="115"/>
      <c r="H23" s="33">
        <v>1</v>
      </c>
      <c r="I23" s="7"/>
      <c r="J23" s="8">
        <v>6</v>
      </c>
      <c r="K23" s="7"/>
      <c r="L23" s="10"/>
      <c r="M23" s="6"/>
      <c r="N23" s="46"/>
      <c r="O23" s="56">
        <f t="shared" si="13"/>
        <v>4</v>
      </c>
      <c r="P23" s="1"/>
      <c r="Q23" s="1" t="str">
        <f t="shared" si="2"/>
        <v/>
      </c>
      <c r="R23" s="94">
        <f t="shared" si="8"/>
        <v>0</v>
      </c>
      <c r="S23" s="93" t="e">
        <f t="shared" si="17"/>
        <v>#DIV/0!</v>
      </c>
      <c r="T23" s="94">
        <f t="shared" si="18"/>
        <v>3.5</v>
      </c>
      <c r="V23" s="187" t="str">
        <f t="shared" si="3"/>
        <v/>
      </c>
      <c r="W23" s="187"/>
      <c r="X23" s="187" t="str">
        <f t="shared" si="4"/>
        <v/>
      </c>
      <c r="Y23" s="187"/>
      <c r="Z23" s="187" t="str">
        <f t="shared" si="5"/>
        <v/>
      </c>
      <c r="AA23" s="187"/>
      <c r="AB23" s="187" t="str">
        <f t="shared" si="6"/>
        <v/>
      </c>
      <c r="AC23" s="187"/>
      <c r="AD23" s="199">
        <f t="shared" si="10"/>
        <v>0</v>
      </c>
      <c r="AE23" s="199" t="str">
        <f t="shared" si="14"/>
        <v/>
      </c>
    </row>
    <row r="24" spans="1:31">
      <c r="A24" s="94">
        <f>IF(OR(C24="-",VLOOKUP(C24,Hinweise!$C$6:$D$37,2,FALSE)=0),0,1)</f>
        <v>0</v>
      </c>
      <c r="B24" s="94"/>
      <c r="C24" s="57" t="s">
        <v>129</v>
      </c>
      <c r="D24" s="48"/>
      <c r="E24" s="128"/>
      <c r="F24" s="11"/>
      <c r="G24" s="128"/>
      <c r="H24" s="50"/>
      <c r="I24" s="49"/>
      <c r="J24" s="51"/>
      <c r="K24" s="58"/>
      <c r="L24" s="52"/>
      <c r="M24" s="53"/>
      <c r="N24" s="54"/>
      <c r="O24" s="56" t="str">
        <f t="shared" si="13"/>
        <v/>
      </c>
      <c r="P24" s="1"/>
      <c r="Q24" s="1" t="str">
        <f t="shared" si="2"/>
        <v/>
      </c>
      <c r="R24" s="94">
        <f t="shared" si="8"/>
        <v>0</v>
      </c>
      <c r="S24" s="93" t="e">
        <f t="shared" si="17"/>
        <v>#DIV/0!</v>
      </c>
      <c r="T24" s="94" t="e">
        <f t="shared" si="18"/>
        <v>#DIV/0!</v>
      </c>
      <c r="V24" s="187" t="str">
        <f t="shared" si="3"/>
        <v/>
      </c>
      <c r="W24" s="187"/>
      <c r="X24" s="187" t="str">
        <f t="shared" si="4"/>
        <v/>
      </c>
      <c r="Y24" s="187"/>
      <c r="Z24" s="187" t="str">
        <f t="shared" si="5"/>
        <v/>
      </c>
      <c r="AA24" s="187"/>
      <c r="AB24" s="187" t="str">
        <f t="shared" si="6"/>
        <v/>
      </c>
      <c r="AC24" s="187"/>
      <c r="AD24" s="199">
        <f t="shared" si="10"/>
        <v>0</v>
      </c>
      <c r="AE24" s="199" t="str">
        <f t="shared" si="14"/>
        <v/>
      </c>
    </row>
    <row r="25" spans="1:31">
      <c r="A25" s="94">
        <v>1</v>
      </c>
      <c r="B25" s="94"/>
      <c r="C25" s="110" t="s">
        <v>17</v>
      </c>
      <c r="D25" s="35"/>
      <c r="E25" s="59"/>
      <c r="F25" s="24"/>
      <c r="G25" s="59"/>
      <c r="H25" s="309">
        <v>4</v>
      </c>
      <c r="I25" s="309"/>
      <c r="J25" s="309"/>
      <c r="K25" s="309"/>
      <c r="L25" s="26"/>
      <c r="M25" s="27"/>
      <c r="N25" s="45"/>
      <c r="O25" s="56">
        <f>IF(H25="","",H25)</f>
        <v>4</v>
      </c>
      <c r="P25" s="1"/>
      <c r="Q25" s="1">
        <f t="shared" si="2"/>
        <v>4</v>
      </c>
      <c r="S25" s="93"/>
      <c r="T25" s="94" t="str">
        <f t="shared" ref="T25:T26" si="19">IF(A25=0,AVERAGE(D25:J25),"")</f>
        <v/>
      </c>
      <c r="V25" s="1"/>
      <c r="W25" s="1"/>
      <c r="X25" s="1"/>
      <c r="Y25" s="1"/>
      <c r="Z25" s="1"/>
      <c r="AA25" s="1"/>
      <c r="AB25" s="1"/>
      <c r="AC25" s="1"/>
      <c r="AD25" s="129">
        <f>SUM(AD7:AD24)</f>
        <v>19</v>
      </c>
      <c r="AE25" s="199" t="str">
        <f t="shared" si="14"/>
        <v/>
      </c>
    </row>
    <row r="26" spans="1:31">
      <c r="A26" s="94">
        <v>1</v>
      </c>
      <c r="B26" s="94"/>
      <c r="C26" s="119" t="s">
        <v>18</v>
      </c>
      <c r="D26" s="36">
        <v>5</v>
      </c>
      <c r="E26" s="28"/>
      <c r="F26" s="29">
        <v>7</v>
      </c>
      <c r="G26" s="28"/>
      <c r="H26" s="34"/>
      <c r="I26" s="30"/>
      <c r="J26" s="17"/>
      <c r="K26" s="131"/>
      <c r="L26" s="19"/>
      <c r="M26" s="20"/>
      <c r="N26" s="47"/>
      <c r="O26" s="44">
        <f>IF(ISERROR(S26),"",IF(S26&lt;1,0,ROUND(S26,0)))</f>
        <v>6</v>
      </c>
      <c r="P26" s="1"/>
      <c r="Q26" s="1">
        <f t="shared" si="2"/>
        <v>6</v>
      </c>
      <c r="S26" s="93">
        <f>AVERAGE(D26:F26)</f>
        <v>6</v>
      </c>
      <c r="T26" s="94" t="str">
        <f t="shared" si="19"/>
        <v/>
      </c>
      <c r="V26" s="1"/>
      <c r="W26" s="1"/>
      <c r="X26" s="1"/>
      <c r="Y26" s="1"/>
      <c r="Z26" s="1"/>
      <c r="AA26" s="1"/>
      <c r="AB26" s="1"/>
      <c r="AC26" s="1"/>
      <c r="AD26" s="130"/>
      <c r="AE26" s="199" t="str">
        <f t="shared" si="14"/>
        <v/>
      </c>
    </row>
    <row r="27" spans="1:31">
      <c r="C27" s="132" t="s">
        <v>159</v>
      </c>
      <c r="D27" s="310" t="s">
        <v>25</v>
      </c>
      <c r="E27" s="310"/>
      <c r="F27" s="310"/>
      <c r="G27" s="310"/>
      <c r="H27" s="310"/>
      <c r="I27" s="310"/>
      <c r="J27" s="310"/>
      <c r="K27" s="310"/>
      <c r="M27" s="274">
        <f>AF5</f>
        <v>2</v>
      </c>
    </row>
    <row r="28" spans="1:31">
      <c r="D28" s="311" t="str">
        <f>IF(AE5&gt;=3,"Zur Prüfung nicht zugelassen","")</f>
        <v/>
      </c>
      <c r="E28" s="311"/>
      <c r="F28" s="311"/>
      <c r="G28" s="311"/>
      <c r="H28" s="311"/>
      <c r="I28" s="311"/>
      <c r="J28" s="311"/>
      <c r="K28" s="311"/>
    </row>
    <row r="29" spans="1:31">
      <c r="C29" s="133" t="s">
        <v>156</v>
      </c>
      <c r="D29" s="291">
        <f>3*SUM(N8:N14)</f>
        <v>51</v>
      </c>
      <c r="E29" s="292"/>
      <c r="F29" s="291" t="s">
        <v>174</v>
      </c>
      <c r="G29" s="292"/>
      <c r="H29" s="196">
        <f>U46</f>
        <v>4</v>
      </c>
      <c r="J29" s="192"/>
      <c r="K29" s="193"/>
      <c r="L29" s="189" t="s">
        <v>166</v>
      </c>
      <c r="M29" s="189" t="s">
        <v>153</v>
      </c>
      <c r="N29" s="190" t="s">
        <v>167</v>
      </c>
      <c r="R29" s="108" t="s">
        <v>24</v>
      </c>
      <c r="S29" s="108" t="s">
        <v>168</v>
      </c>
      <c r="T29" s="108" t="s">
        <v>169</v>
      </c>
      <c r="U29" s="108" t="s">
        <v>170</v>
      </c>
    </row>
    <row r="30" spans="1:31">
      <c r="C30" s="99" t="s">
        <v>165</v>
      </c>
      <c r="D30" s="291">
        <f>SUM(V7:AC24)</f>
        <v>152</v>
      </c>
      <c r="E30" s="292"/>
      <c r="F30" s="291" t="s">
        <v>157</v>
      </c>
      <c r="G30" s="292"/>
      <c r="H30" s="186">
        <f>S46</f>
        <v>19</v>
      </c>
      <c r="J30" s="137" t="s">
        <v>104</v>
      </c>
      <c r="K30" s="138"/>
      <c r="L30" s="139">
        <f>S30</f>
        <v>0</v>
      </c>
      <c r="M30" s="139">
        <f>T30</f>
        <v>0</v>
      </c>
      <c r="N30" s="140">
        <f>U30</f>
        <v>0</v>
      </c>
      <c r="R30" s="222">
        <v>0</v>
      </c>
      <c r="S30" s="222">
        <f t="shared" ref="S30:S45" si="20">COUNTIF($V$7:$AC$24,R30)</f>
        <v>0</v>
      </c>
      <c r="T30" s="222">
        <f>COUNTIF($Q$7:$Q$26,R30)</f>
        <v>0</v>
      </c>
      <c r="U30" s="222">
        <f t="shared" ref="U30:U45" si="21">COUNTIF($N$8:$N$14,R30)</f>
        <v>0</v>
      </c>
    </row>
    <row r="31" spans="1:31">
      <c r="C31" s="133" t="s">
        <v>22</v>
      </c>
      <c r="D31" s="291">
        <f>H25</f>
        <v>4</v>
      </c>
      <c r="E31" s="292"/>
      <c r="F31" s="134"/>
      <c r="G31" s="135"/>
      <c r="H31" s="136"/>
      <c r="J31" s="137" t="s">
        <v>105</v>
      </c>
      <c r="K31" s="138"/>
      <c r="L31" s="139">
        <f t="shared" ref="L31:N35" si="22">S31</f>
        <v>0</v>
      </c>
      <c r="M31" s="139">
        <f t="shared" si="22"/>
        <v>0</v>
      </c>
      <c r="N31" s="140">
        <f t="shared" si="22"/>
        <v>0</v>
      </c>
      <c r="R31" s="222">
        <v>1</v>
      </c>
      <c r="S31" s="222">
        <f t="shared" si="20"/>
        <v>0</v>
      </c>
      <c r="T31" s="222">
        <f t="shared" ref="T31:T45" si="23">COUNTIF($Q$7:$Q$26,R31)</f>
        <v>0</v>
      </c>
      <c r="U31" s="222">
        <f t="shared" si="21"/>
        <v>0</v>
      </c>
    </row>
    <row r="32" spans="1:31">
      <c r="C32" s="133" t="s">
        <v>155</v>
      </c>
      <c r="D32" s="291">
        <f>D26+F26</f>
        <v>12</v>
      </c>
      <c r="E32" s="292"/>
      <c r="F32" s="134"/>
      <c r="G32" s="135"/>
      <c r="H32" s="136"/>
      <c r="J32" s="137" t="s">
        <v>106</v>
      </c>
      <c r="K32" s="138"/>
      <c r="L32" s="139">
        <f t="shared" si="22"/>
        <v>0</v>
      </c>
      <c r="M32" s="139">
        <f t="shared" si="22"/>
        <v>0</v>
      </c>
      <c r="N32" s="140">
        <f t="shared" si="22"/>
        <v>0</v>
      </c>
      <c r="R32" s="222">
        <v>2</v>
      </c>
      <c r="S32" s="222">
        <f t="shared" si="20"/>
        <v>0</v>
      </c>
      <c r="T32" s="222">
        <f t="shared" si="23"/>
        <v>0</v>
      </c>
      <c r="U32" s="222">
        <f t="shared" si="21"/>
        <v>0</v>
      </c>
    </row>
    <row r="33" spans="3:38">
      <c r="C33" s="141" t="s">
        <v>158</v>
      </c>
      <c r="D33" s="293">
        <f>SUM(D29:D32)</f>
        <v>219</v>
      </c>
      <c r="E33" s="294"/>
      <c r="F33" s="134"/>
      <c r="G33" s="135"/>
      <c r="H33" s="136"/>
      <c r="J33" s="137" t="s">
        <v>107</v>
      </c>
      <c r="K33" s="138"/>
      <c r="L33" s="139">
        <f t="shared" si="22"/>
        <v>2</v>
      </c>
      <c r="M33" s="139">
        <f t="shared" si="22"/>
        <v>0</v>
      </c>
      <c r="N33" s="140">
        <f t="shared" si="22"/>
        <v>2</v>
      </c>
      <c r="R33" s="222">
        <v>3</v>
      </c>
      <c r="S33" s="222">
        <f t="shared" si="20"/>
        <v>2</v>
      </c>
      <c r="T33" s="222">
        <f t="shared" si="23"/>
        <v>0</v>
      </c>
      <c r="U33" s="222">
        <f t="shared" si="21"/>
        <v>2</v>
      </c>
    </row>
    <row r="34" spans="3:38">
      <c r="C34" s="141" t="s">
        <v>23</v>
      </c>
      <c r="D34" s="295" t="str">
        <f>IF(D35="bestanden",INT(F34*10)/10,"")</f>
        <v/>
      </c>
      <c r="E34" s="296"/>
      <c r="F34" s="185">
        <f>17/3-5*D33/600</f>
        <v>3.8416666666666668</v>
      </c>
      <c r="G34" s="134"/>
      <c r="H34" s="136"/>
      <c r="J34" s="142" t="s">
        <v>149</v>
      </c>
      <c r="K34" s="143"/>
      <c r="L34" s="144">
        <f t="shared" si="22"/>
        <v>2</v>
      </c>
      <c r="M34" s="144">
        <f t="shared" si="22"/>
        <v>3</v>
      </c>
      <c r="N34" s="145">
        <f t="shared" si="22"/>
        <v>1</v>
      </c>
      <c r="R34" s="222">
        <v>4</v>
      </c>
      <c r="S34" s="222">
        <f t="shared" si="20"/>
        <v>2</v>
      </c>
      <c r="T34" s="222">
        <f t="shared" si="23"/>
        <v>3</v>
      </c>
      <c r="U34" s="222">
        <f t="shared" si="21"/>
        <v>1</v>
      </c>
    </row>
    <row r="35" spans="3:38">
      <c r="C35" s="141" t="s">
        <v>108</v>
      </c>
      <c r="D35" s="297" t="str">
        <f>IF(AND(G38+G39=2,M27&lt;4),"bestanden","nicht bestanden")</f>
        <v>nicht bestanden</v>
      </c>
      <c r="E35" s="298"/>
      <c r="F35" s="293"/>
      <c r="G35" s="135"/>
      <c r="H35" s="136"/>
      <c r="J35" s="142" t="s">
        <v>150</v>
      </c>
      <c r="K35" s="143"/>
      <c r="L35" s="144">
        <f t="shared" si="22"/>
        <v>2</v>
      </c>
      <c r="M35" s="144">
        <f t="shared" si="22"/>
        <v>2</v>
      </c>
      <c r="N35" s="145">
        <f t="shared" si="22"/>
        <v>0</v>
      </c>
      <c r="R35" s="222">
        <v>5</v>
      </c>
      <c r="S35" s="222">
        <f t="shared" si="20"/>
        <v>2</v>
      </c>
      <c r="T35" s="222">
        <f t="shared" si="23"/>
        <v>2</v>
      </c>
      <c r="U35" s="222">
        <f t="shared" si="21"/>
        <v>0</v>
      </c>
    </row>
    <row r="36" spans="3:38">
      <c r="J36" s="293" t="s">
        <v>151</v>
      </c>
      <c r="K36" s="294"/>
      <c r="L36" s="184">
        <f>SUM(L30:L33)</f>
        <v>2</v>
      </c>
      <c r="M36" s="184">
        <f>SUM(M30:M33)</f>
        <v>0</v>
      </c>
      <c r="N36" s="186">
        <f>SUM(N30:N33)</f>
        <v>2</v>
      </c>
      <c r="R36" s="222">
        <v>6</v>
      </c>
      <c r="S36" s="222">
        <f t="shared" si="20"/>
        <v>0</v>
      </c>
      <c r="T36" s="222">
        <f t="shared" si="23"/>
        <v>1</v>
      </c>
      <c r="U36" s="222">
        <f t="shared" si="21"/>
        <v>0</v>
      </c>
    </row>
    <row r="37" spans="3:38">
      <c r="C37" s="146" t="s">
        <v>171</v>
      </c>
      <c r="D37" s="299"/>
      <c r="E37" s="299"/>
      <c r="F37" s="299"/>
      <c r="J37" s="194" t="s">
        <v>152</v>
      </c>
      <c r="K37" s="195"/>
      <c r="L37" s="191">
        <f>2*L30+L31+L32+L33</f>
        <v>2</v>
      </c>
      <c r="M37" s="191">
        <f>2*M30+M31+M32+M33</f>
        <v>0</v>
      </c>
      <c r="N37" s="89">
        <f>2*N30+N31+N32+N33</f>
        <v>2</v>
      </c>
      <c r="R37" s="222">
        <v>7</v>
      </c>
      <c r="S37" s="222">
        <f t="shared" si="20"/>
        <v>3</v>
      </c>
      <c r="T37" s="222">
        <f t="shared" si="23"/>
        <v>1</v>
      </c>
      <c r="U37" s="222">
        <f t="shared" si="21"/>
        <v>1</v>
      </c>
    </row>
    <row r="38" spans="3:38">
      <c r="C38" s="206" t="s">
        <v>180</v>
      </c>
      <c r="D38" s="288" t="str">
        <f>IF(AND(N37&lt;3,U46=4),"erfüllt","nicht erfüllt")</f>
        <v>erfüllt</v>
      </c>
      <c r="E38" s="288"/>
      <c r="F38" s="288"/>
      <c r="G38" s="150">
        <f>IF(D38="erfüllt",1,0)</f>
        <v>1</v>
      </c>
      <c r="J38" s="147"/>
      <c r="K38" s="147"/>
      <c r="L38" s="148"/>
      <c r="R38" s="222">
        <v>8</v>
      </c>
      <c r="S38" s="222">
        <f t="shared" si="20"/>
        <v>3</v>
      </c>
      <c r="T38" s="222">
        <f t="shared" si="23"/>
        <v>1</v>
      </c>
      <c r="U38" s="222">
        <f t="shared" si="21"/>
        <v>0</v>
      </c>
    </row>
    <row r="39" spans="3:38">
      <c r="C39" s="214" t="s">
        <v>181</v>
      </c>
      <c r="D39" s="289" t="b">
        <f>IF(H30=25,IF(OR((M37=0),AND(M37=1,D33&gt;=200),AND(M37=2,D33&gt;=240)),"erfüllt","nicht erfüllt"))</f>
        <v>0</v>
      </c>
      <c r="E39" s="289"/>
      <c r="F39" s="289"/>
      <c r="G39" s="150">
        <f>IF(D39="erfüllt",1,0)</f>
        <v>0</v>
      </c>
      <c r="J39" s="149"/>
      <c r="K39" s="149"/>
      <c r="R39" s="222">
        <v>9</v>
      </c>
      <c r="S39" s="222">
        <f t="shared" si="20"/>
        <v>2</v>
      </c>
      <c r="T39" s="222">
        <f t="shared" si="23"/>
        <v>1</v>
      </c>
      <c r="U39" s="222">
        <f t="shared" si="21"/>
        <v>0</v>
      </c>
    </row>
    <row r="40" spans="3:38" s="149" customFormat="1">
      <c r="C40" s="216"/>
      <c r="D40" s="290"/>
      <c r="E40" s="290"/>
      <c r="F40" s="290"/>
      <c r="R40" s="222">
        <v>10</v>
      </c>
      <c r="S40" s="222">
        <f t="shared" si="20"/>
        <v>2</v>
      </c>
      <c r="T40" s="222">
        <f t="shared" si="23"/>
        <v>0</v>
      </c>
      <c r="U40" s="222">
        <f t="shared" si="21"/>
        <v>0</v>
      </c>
      <c r="V40" s="148"/>
      <c r="W40" s="148"/>
      <c r="X40" s="148"/>
      <c r="Y40" s="148"/>
      <c r="Z40" s="148"/>
      <c r="AA40" s="148"/>
      <c r="AB40" s="148"/>
      <c r="AC40" s="148"/>
      <c r="AD40" s="130"/>
      <c r="AE40" s="130"/>
      <c r="AF40" s="268"/>
      <c r="AH40" s="148"/>
      <c r="AI40" s="217"/>
      <c r="AL40" s="148"/>
    </row>
    <row r="41" spans="3:38">
      <c r="E41" s="150">
        <f>COUNTIF(D38:F40,"nicht erfüllt")</f>
        <v>0</v>
      </c>
      <c r="J41" s="151"/>
      <c r="K41" s="151"/>
      <c r="L41" s="148"/>
      <c r="R41" s="222">
        <v>11</v>
      </c>
      <c r="S41" s="222">
        <f t="shared" si="20"/>
        <v>0</v>
      </c>
      <c r="T41" s="222">
        <f t="shared" si="23"/>
        <v>0</v>
      </c>
      <c r="U41" s="222">
        <f t="shared" si="21"/>
        <v>0</v>
      </c>
    </row>
    <row r="42" spans="3:38">
      <c r="C42" s="287" t="s">
        <v>160</v>
      </c>
      <c r="D42" s="287"/>
      <c r="E42" s="287"/>
      <c r="F42" s="287"/>
      <c r="G42" s="287"/>
      <c r="H42" s="287"/>
      <c r="I42" s="287"/>
      <c r="J42" s="287"/>
      <c r="K42" s="287"/>
      <c r="L42" s="287"/>
      <c r="M42" s="287"/>
      <c r="N42" s="287"/>
      <c r="O42" s="287"/>
      <c r="R42" s="222">
        <v>12</v>
      </c>
      <c r="S42" s="222">
        <f t="shared" si="20"/>
        <v>0</v>
      </c>
      <c r="T42" s="222">
        <f t="shared" si="23"/>
        <v>1</v>
      </c>
      <c r="U42" s="222">
        <f t="shared" si="21"/>
        <v>0</v>
      </c>
    </row>
    <row r="43" spans="3:38">
      <c r="C43" s="188"/>
      <c r="J43" s="151"/>
      <c r="K43" s="151"/>
      <c r="L43" s="148"/>
      <c r="R43" s="222">
        <v>13</v>
      </c>
      <c r="S43" s="222">
        <f t="shared" si="20"/>
        <v>0</v>
      </c>
      <c r="T43" s="222">
        <f t="shared" si="23"/>
        <v>0</v>
      </c>
      <c r="U43" s="222">
        <f t="shared" si="21"/>
        <v>0</v>
      </c>
    </row>
    <row r="44" spans="3:38">
      <c r="C44" s="188" t="str">
        <f>Hinweise!AG2</f>
        <v>Version 07.02.20</v>
      </c>
      <c r="J44" s="151"/>
      <c r="K44" s="151"/>
      <c r="L44" s="148"/>
      <c r="R44" s="222">
        <v>14</v>
      </c>
      <c r="S44" s="222">
        <f t="shared" si="20"/>
        <v>0</v>
      </c>
      <c r="T44" s="222">
        <f t="shared" si="23"/>
        <v>0</v>
      </c>
      <c r="U44" s="222">
        <f t="shared" si="21"/>
        <v>0</v>
      </c>
    </row>
    <row r="45" spans="3:38">
      <c r="C45" s="188" t="s">
        <v>163</v>
      </c>
      <c r="J45" s="151"/>
      <c r="K45" s="151"/>
      <c r="L45" s="148"/>
      <c r="R45" s="222">
        <v>15</v>
      </c>
      <c r="S45" s="222">
        <f t="shared" si="20"/>
        <v>3</v>
      </c>
      <c r="T45" s="222">
        <f t="shared" si="23"/>
        <v>1</v>
      </c>
      <c r="U45" s="222">
        <f t="shared" si="21"/>
        <v>0</v>
      </c>
    </row>
    <row r="46" spans="3:38">
      <c r="J46" s="149"/>
      <c r="K46" s="149"/>
      <c r="R46" s="222"/>
      <c r="S46" s="152">
        <f>SUM(S30:S45)</f>
        <v>19</v>
      </c>
      <c r="T46" s="152">
        <f>SUM(T30:T45)</f>
        <v>11</v>
      </c>
      <c r="U46" s="152">
        <f>SUM(U30:U45)</f>
        <v>4</v>
      </c>
    </row>
  </sheetData>
  <sheetProtection algorithmName="SHA-512" hashValue="xNJ6z03yDn/JV3Y/9TsbIG2od9JhMlOqWBtorV7OAedTzMv+4b9aSbShowLVza8oEU2g6gfS4P2gasvOUxqMBQ==" saltValue="kAiMw4s9kzQpK4GQnNVM0w==" spinCount="100000" sheet="1" formatRows="0" selectLockedCells="1"/>
  <scenarios current="1" show="1">
    <scenario name="FOS12 nach Prüfung" locked="1" count="4" user="Benutzer" comment="Erstellt von Benutzer am 19.11.2018">
      <inputCells r="L8" val="4"/>
      <inputCells r="L9" val="5"/>
      <inputCells r="L10" val="8"/>
      <inputCells r="L14" val="3"/>
    </scenario>
    <scenario name="FOS12 vor Prüfung" locked="1" count="4" user="Benutzer" comment="Erstellt von Benutzer am 19.11.2018">
      <inputCells r="L8" val=""/>
      <inputCells r="L9" val=""/>
      <inputCells r="L10" val=""/>
      <inputCells r="L14" val=""/>
    </scenario>
  </scenarios>
  <mergeCells count="26">
    <mergeCell ref="D5:K5"/>
    <mergeCell ref="H25:K25"/>
    <mergeCell ref="D27:K27"/>
    <mergeCell ref="D29:E29"/>
    <mergeCell ref="D30:E30"/>
    <mergeCell ref="F30:G30"/>
    <mergeCell ref="F29:G29"/>
    <mergeCell ref="D28:K28"/>
    <mergeCell ref="C2:D2"/>
    <mergeCell ref="I2:O2"/>
    <mergeCell ref="J3:N3"/>
    <mergeCell ref="D4:F4"/>
    <mergeCell ref="H4:O4"/>
    <mergeCell ref="C42:O42"/>
    <mergeCell ref="D32:E32"/>
    <mergeCell ref="D33:E33"/>
    <mergeCell ref="D34:E34"/>
    <mergeCell ref="D35:F35"/>
    <mergeCell ref="J36:K36"/>
    <mergeCell ref="D37:F37"/>
    <mergeCell ref="AJ9:AL9"/>
    <mergeCell ref="AI13:AL13"/>
    <mergeCell ref="D38:F38"/>
    <mergeCell ref="D39:F39"/>
    <mergeCell ref="D40:F40"/>
    <mergeCell ref="D31:E31"/>
  </mergeCells>
  <conditionalFormatting sqref="T2:T4">
    <cfRule type="cellIs" dxfId="263" priority="63" operator="greaterThan">
      <formula>1</formula>
    </cfRule>
  </conditionalFormatting>
  <conditionalFormatting sqref="H30">
    <cfRule type="cellIs" dxfId="262" priority="61" operator="notEqual">
      <formula>25</formula>
    </cfRule>
    <cfRule type="cellIs" dxfId="261" priority="62" operator="equal">
      <formula>25</formula>
    </cfRule>
  </conditionalFormatting>
  <conditionalFormatting sqref="D27">
    <cfRule type="expression" dxfId="260" priority="60">
      <formula>R5&gt;1</formula>
    </cfRule>
  </conditionalFormatting>
  <conditionalFormatting sqref="D35:F35">
    <cfRule type="containsText" dxfId="259" priority="58" operator="containsText" text="nicht bestanden">
      <formula>NOT(ISERROR(SEARCH("nicht bestanden",D35)))</formula>
    </cfRule>
    <cfRule type="containsText" dxfId="258" priority="59" operator="containsText" text="bestanden">
      <formula>NOT(ISERROR(SEARCH("bestanden",D35)))</formula>
    </cfRule>
  </conditionalFormatting>
  <conditionalFormatting sqref="D18">
    <cfRule type="expression" dxfId="257" priority="56">
      <formula>"G5=0"</formula>
    </cfRule>
    <cfRule type="expression" dxfId="256" priority="57">
      <formula>E18=1</formula>
    </cfRule>
  </conditionalFormatting>
  <conditionalFormatting sqref="F16">
    <cfRule type="expression" dxfId="255" priority="54">
      <formula>"G5=0"</formula>
    </cfRule>
    <cfRule type="expression" dxfId="254" priority="55">
      <formula>G16=1</formula>
    </cfRule>
  </conditionalFormatting>
  <conditionalFormatting sqref="H7">
    <cfRule type="expression" dxfId="253" priority="52">
      <formula>"&lt;&gt;istzahl(Z7)"</formula>
    </cfRule>
    <cfRule type="expression" dxfId="252" priority="53">
      <formula>ISNUMBER(Z7)</formula>
    </cfRule>
  </conditionalFormatting>
  <conditionalFormatting sqref="D11">
    <cfRule type="expression" dxfId="251" priority="50">
      <formula>"&lt;&gt;istzahl(Z7)"</formula>
    </cfRule>
    <cfRule type="expression" dxfId="250" priority="51">
      <formula>ISNUMBER(V11)</formula>
    </cfRule>
  </conditionalFormatting>
  <conditionalFormatting sqref="D17">
    <cfRule type="expression" dxfId="249" priority="48">
      <formula>"&lt;&gt;istzahl(Z7)"</formula>
    </cfRule>
    <cfRule type="expression" dxfId="248" priority="49">
      <formula>ISNUMBER(V17)</formula>
    </cfRule>
  </conditionalFormatting>
  <conditionalFormatting sqref="F8:F11">
    <cfRule type="expression" dxfId="247" priority="46">
      <formula>"&lt;&gt;istzahl(Z7)"</formula>
    </cfRule>
    <cfRule type="expression" dxfId="246" priority="47">
      <formula>ISNUMBER(X8)</formula>
    </cfRule>
  </conditionalFormatting>
  <conditionalFormatting sqref="F14:F15">
    <cfRule type="expression" dxfId="245" priority="44">
      <formula>"&lt;&gt;istzahl(Z7)"</formula>
    </cfRule>
    <cfRule type="expression" dxfId="244" priority="45">
      <formula>ISNUMBER(X14)</formula>
    </cfRule>
  </conditionalFormatting>
  <conditionalFormatting sqref="F17:F19">
    <cfRule type="expression" dxfId="243" priority="42">
      <formula>"&lt;&gt;istzahl(Z7)"</formula>
    </cfRule>
    <cfRule type="expression" dxfId="242" priority="43">
      <formula>ISNUMBER(X17)</formula>
    </cfRule>
  </conditionalFormatting>
  <conditionalFormatting sqref="H8:H10">
    <cfRule type="expression" dxfId="241" priority="40">
      <formula>"&lt;&gt;istzahl(Z7)"</formula>
    </cfRule>
    <cfRule type="expression" dxfId="240" priority="41">
      <formula>ISNUMBER(Z8)</formula>
    </cfRule>
  </conditionalFormatting>
  <conditionalFormatting sqref="H12:H13">
    <cfRule type="expression" dxfId="239" priority="38">
      <formula>"&lt;&gt;istzahl(Z7)"</formula>
    </cfRule>
    <cfRule type="expression" dxfId="238" priority="39">
      <formula>ISNUMBER(Z12)</formula>
    </cfRule>
  </conditionalFormatting>
  <conditionalFormatting sqref="H14:H16">
    <cfRule type="expression" dxfId="237" priority="36">
      <formula>"&lt;&gt;istzahl(Z7)"</formula>
    </cfRule>
    <cfRule type="expression" dxfId="236" priority="37">
      <formula>ISNUMBER(Z14)</formula>
    </cfRule>
  </conditionalFormatting>
  <conditionalFormatting sqref="H18:H24">
    <cfRule type="expression" dxfId="235" priority="34">
      <formula>"&lt;&gt;istzahl(Z7)"</formula>
    </cfRule>
    <cfRule type="expression" dxfId="234" priority="35">
      <formula>ISNUMBER(Z18)</formula>
    </cfRule>
  </conditionalFormatting>
  <conditionalFormatting sqref="J7">
    <cfRule type="expression" dxfId="233" priority="32">
      <formula>"&lt;&gt;istzahl(Z7)"</formula>
    </cfRule>
    <cfRule type="expression" dxfId="232" priority="33">
      <formula>ISNUMBER(AB7)</formula>
    </cfRule>
  </conditionalFormatting>
  <conditionalFormatting sqref="J8:J10">
    <cfRule type="expression" dxfId="231" priority="30">
      <formula>"&lt;&gt;istzahl(Z7)"</formula>
    </cfRule>
    <cfRule type="expression" dxfId="230" priority="31">
      <formula>ISNUMBER(AB8)</formula>
    </cfRule>
  </conditionalFormatting>
  <conditionalFormatting sqref="J12:J13">
    <cfRule type="expression" dxfId="229" priority="28">
      <formula>"&lt;&gt;istzahl(Z7)"</formula>
    </cfRule>
    <cfRule type="expression" dxfId="228" priority="29">
      <formula>ISNUMBER(AB12)</formula>
    </cfRule>
  </conditionalFormatting>
  <conditionalFormatting sqref="J14:J16">
    <cfRule type="expression" dxfId="227" priority="26">
      <formula>"&lt;&gt;istzahl(Z7)"</formula>
    </cfRule>
    <cfRule type="expression" dxfId="226" priority="27">
      <formula>ISNUMBER(AB14)</formula>
    </cfRule>
  </conditionalFormatting>
  <conditionalFormatting sqref="J18:J24">
    <cfRule type="expression" dxfId="225" priority="24">
      <formula>"&lt;&gt;istzahl(Z7)"</formula>
    </cfRule>
    <cfRule type="expression" dxfId="224" priority="25">
      <formula>ISNUMBER(AB18)</formula>
    </cfRule>
  </conditionalFormatting>
  <conditionalFormatting sqref="L8">
    <cfRule type="expression" dxfId="223" priority="23">
      <formula>ISNUMBER(L8)</formula>
    </cfRule>
  </conditionalFormatting>
  <conditionalFormatting sqref="L9:L10">
    <cfRule type="expression" dxfId="222" priority="22">
      <formula>ISNUMBER(L9)</formula>
    </cfRule>
  </conditionalFormatting>
  <conditionalFormatting sqref="M8:M10">
    <cfRule type="expression" dxfId="221" priority="21">
      <formula>ISNUMBER(M8)</formula>
    </cfRule>
  </conditionalFormatting>
  <conditionalFormatting sqref="L14">
    <cfRule type="expression" dxfId="220" priority="20">
      <formula>ISNUMBER(L14)</formula>
    </cfRule>
  </conditionalFormatting>
  <conditionalFormatting sqref="M14">
    <cfRule type="expression" dxfId="219" priority="19">
      <formula>ISNUMBER(M14)</formula>
    </cfRule>
  </conditionalFormatting>
  <conditionalFormatting sqref="D26">
    <cfRule type="expression" dxfId="218" priority="18">
      <formula>ISNUMBER(D26)</formula>
    </cfRule>
  </conditionalFormatting>
  <conditionalFormatting sqref="F26">
    <cfRule type="expression" dxfId="217" priority="17">
      <formula>ISNUMBER(F26)</formula>
    </cfRule>
  </conditionalFormatting>
  <conditionalFormatting sqref="H25:K25">
    <cfRule type="expression" dxfId="216" priority="16">
      <formula>ISNUMBER(H25)</formula>
    </cfRule>
  </conditionalFormatting>
  <conditionalFormatting sqref="H29">
    <cfRule type="expression" dxfId="215" priority="14">
      <formula>$H$29&lt;&gt;4</formula>
    </cfRule>
    <cfRule type="expression" dxfId="214" priority="15">
      <formula>$H$29=4</formula>
    </cfRule>
  </conditionalFormatting>
  <conditionalFormatting sqref="O23">
    <cfRule type="expression" dxfId="213" priority="11">
      <formula>$A$23=0</formula>
    </cfRule>
  </conditionalFormatting>
  <conditionalFormatting sqref="O22">
    <cfRule type="expression" dxfId="212" priority="10">
      <formula>$A$22=0</formula>
    </cfRule>
  </conditionalFormatting>
  <conditionalFormatting sqref="O24">
    <cfRule type="expression" dxfId="211" priority="9">
      <formula>$A$24=0</formula>
    </cfRule>
  </conditionalFormatting>
  <conditionalFormatting sqref="D28:K28">
    <cfRule type="containsText" dxfId="210" priority="8" operator="containsText" text="Zur Prüfung nicht zugelassen">
      <formula>NOT(ISERROR(SEARCH("Zur Prüfung nicht zugelassen",D28)))</formula>
    </cfRule>
  </conditionalFormatting>
  <conditionalFormatting sqref="AJ8:AL8">
    <cfRule type="containsText" dxfId="209" priority="6" operator="containsText" text="nicht bestanden">
      <formula>NOT(ISERROR(SEARCH("nicht bestanden",AJ8)))</formula>
    </cfRule>
    <cfRule type="containsText" dxfId="208" priority="7" operator="containsText" text="bestanden">
      <formula>NOT(ISERROR(SEARCH("bestanden",AJ8)))</formula>
    </cfRule>
  </conditionalFormatting>
  <conditionalFormatting sqref="AL2">
    <cfRule type="expression" dxfId="207" priority="4">
      <formula>$H$29&lt;&gt;4</formula>
    </cfRule>
    <cfRule type="expression" dxfId="206" priority="5">
      <formula>$H$29=4</formula>
    </cfRule>
  </conditionalFormatting>
  <conditionalFormatting sqref="AL3">
    <cfRule type="cellIs" dxfId="205" priority="2" operator="notEqual">
      <formula>25</formula>
    </cfRule>
    <cfRule type="cellIs" dxfId="204" priority="3" operator="equal">
      <formula>25</formula>
    </cfRule>
  </conditionalFormatting>
  <conditionalFormatting sqref="M27">
    <cfRule type="cellIs" dxfId="203" priority="1" operator="greaterThan">
      <formula>3</formula>
    </cfRule>
  </conditionalFormatting>
  <dataValidations count="2">
    <dataValidation type="whole" allowBlank="1" showInputMessage="1" showErrorMessage="1" sqref="K26" xr:uid="{00000000-0002-0000-0300-000000000000}">
      <formula1>0</formula1>
      <formula2>1</formula2>
    </dataValidation>
    <dataValidation type="whole" allowBlank="1" showInputMessage="1" showErrorMessage="1" sqref="J7:J10 F26 L14:M14 D11 F14:F16 D18 H19:H25 F18:F20 D26 F8:F11 L8:M10 H7:H10 H12:H16 J12:J16 J19:J24" xr:uid="{00000000-0002-0000-0300-000001000000}">
      <formula1>0</formula1>
      <formula2>15</formula2>
    </dataValidation>
  </dataValidations>
  <pageMargins left="0.70866141732283472" right="0.70866141732283472" top="1.3779527559055118" bottom="0.78740157480314965" header="0.31496062992125984" footer="0.31496062992125984"/>
  <pageSetup paperSize="9" scale="97"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Hinweise!$K$18:$K$19</xm:f>
          </x14:formula1>
          <xm:sqref>I7:I24 E7:E24 G7:G24 K7:K24</xm:sqref>
        </x14:dataValidation>
        <x14:dataValidation type="list" allowBlank="1" showInputMessage="1" showErrorMessage="1" xr:uid="{00000000-0002-0000-0300-000003000000}">
          <x14:formula1>
            <xm:f>Hinweise!$G$4:$G$10</xm:f>
          </x14:formula1>
          <xm:sqref>D4</xm:sqref>
        </x14:dataValidation>
        <x14:dataValidation type="list" allowBlank="1" showInputMessage="1" showErrorMessage="1" xr:uid="{00000000-0002-0000-0300-000004000000}">
          <x14:formula1>
            <xm:f>Hinweise!$C$6:$C$37</xm:f>
          </x14:formula1>
          <xm:sqref>C22:C24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pageSetUpPr fitToPage="1"/>
  </sheetPr>
  <dimension ref="A1:AM46"/>
  <sheetViews>
    <sheetView topLeftCell="B1" zoomScaleNormal="100" workbookViewId="0">
      <selection activeCell="C22" sqref="C22"/>
    </sheetView>
  </sheetViews>
  <sheetFormatPr baseColWidth="10" defaultRowHeight="15.75"/>
  <cols>
    <col min="1" max="1" width="5.625" style="93" hidden="1" customWidth="1"/>
    <col min="2" max="2" width="3.5" style="93" customWidth="1"/>
    <col min="3" max="3" width="30.87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6" width="5.375" style="93" customWidth="1"/>
    <col min="17"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hidden="1" customWidth="1"/>
    <col min="35" max="35" width="28.625" style="94" customWidth="1"/>
    <col min="36" max="37" width="5.75" style="93" customWidth="1"/>
    <col min="38" max="38" width="7.75" style="93" customWidth="1"/>
    <col min="39" max="39" width="4.875" style="93" customWidth="1"/>
    <col min="40" max="16384" width="11" style="93"/>
  </cols>
  <sheetData>
    <row r="1" spans="1:39" ht="16.5" thickBot="1"/>
    <row r="2" spans="1:39" ht="21.75" thickBot="1">
      <c r="C2" s="239" t="s">
        <v>193</v>
      </c>
      <c r="D2" s="239"/>
      <c r="H2" s="93" t="s">
        <v>113</v>
      </c>
      <c r="I2" s="312" t="s">
        <v>179</v>
      </c>
      <c r="J2" s="312"/>
      <c r="K2" s="312"/>
      <c r="L2" s="312"/>
      <c r="M2" s="312"/>
      <c r="N2" s="312"/>
      <c r="O2" s="312"/>
      <c r="AI2" s="232" t="str">
        <f>C29</f>
        <v>Punktezahl Prüfungen (2-fach)</v>
      </c>
      <c r="AJ2" s="313">
        <f>D29</f>
        <v>78</v>
      </c>
      <c r="AK2" s="314"/>
      <c r="AL2" s="233" t="s">
        <v>174</v>
      </c>
      <c r="AM2" s="234">
        <f>H29</f>
        <v>4</v>
      </c>
    </row>
    <row r="3" spans="1:39" ht="15.75" customHeight="1" thickBot="1">
      <c r="C3" s="96"/>
      <c r="D3" s="96"/>
      <c r="J3" s="302">
        <f ca="1">NOW()</f>
        <v>43949.388484374998</v>
      </c>
      <c r="K3" s="302"/>
      <c r="L3" s="302"/>
      <c r="M3" s="302"/>
      <c r="N3" s="302"/>
      <c r="AI3" s="232" t="str">
        <f t="shared" ref="AI3:AI4" si="0">C30</f>
        <v>Punktezahl weiterer 16 HJE</v>
      </c>
      <c r="AJ3" s="291">
        <f t="shared" ref="AJ3:AJ4" si="1">D30</f>
        <v>60</v>
      </c>
      <c r="AK3" s="292"/>
      <c r="AL3" s="231" t="s">
        <v>157</v>
      </c>
      <c r="AM3" s="240">
        <f>H30</f>
        <v>14</v>
      </c>
    </row>
    <row r="4" spans="1:39" ht="15.75" customHeight="1">
      <c r="C4" s="97" t="s">
        <v>161</v>
      </c>
      <c r="D4" s="303" t="s">
        <v>124</v>
      </c>
      <c r="E4" s="304"/>
      <c r="F4" s="305"/>
      <c r="G4" s="98"/>
      <c r="H4" s="306" t="s">
        <v>160</v>
      </c>
      <c r="I4" s="307"/>
      <c r="J4" s="307"/>
      <c r="K4" s="307"/>
      <c r="L4" s="307"/>
      <c r="M4" s="307"/>
      <c r="N4" s="307"/>
      <c r="O4" s="307"/>
      <c r="AI4" s="232" t="str">
        <f t="shared" si="0"/>
        <v>Punktezahl Seminararbeit (2-fach)</v>
      </c>
      <c r="AJ4" s="291">
        <f t="shared" si="1"/>
        <v>2</v>
      </c>
      <c r="AK4" s="292"/>
      <c r="AL4" s="134"/>
      <c r="AM4" s="237"/>
    </row>
    <row r="5" spans="1:39">
      <c r="D5" s="308" t="s">
        <v>164</v>
      </c>
      <c r="E5" s="308"/>
      <c r="F5" s="308"/>
      <c r="G5" s="308"/>
      <c r="H5" s="308"/>
      <c r="I5" s="308"/>
      <c r="J5" s="308"/>
      <c r="K5" s="308"/>
      <c r="R5" s="94">
        <f>MAX(R7:R24)</f>
        <v>1</v>
      </c>
      <c r="AE5" s="201">
        <f>SUM(AE7:AE25)</f>
        <v>2</v>
      </c>
      <c r="AF5" s="266">
        <f>COUNT(AF8:AF14)</f>
        <v>3</v>
      </c>
      <c r="AI5" s="212" t="s">
        <v>158</v>
      </c>
      <c r="AJ5" s="293">
        <f>SUM(AJ1:AJ4)</f>
        <v>140</v>
      </c>
      <c r="AK5" s="294"/>
      <c r="AL5" s="134"/>
      <c r="AM5" s="237"/>
    </row>
    <row r="6" spans="1:39">
      <c r="A6" s="93" t="s">
        <v>115</v>
      </c>
      <c r="C6" s="99"/>
      <c r="D6" s="153" t="s">
        <v>2</v>
      </c>
      <c r="E6" s="154"/>
      <c r="F6" s="153" t="s">
        <v>3</v>
      </c>
      <c r="G6" s="154"/>
      <c r="H6" s="100" t="s">
        <v>186</v>
      </c>
      <c r="I6" s="101" t="s">
        <v>136</v>
      </c>
      <c r="J6" s="100" t="s">
        <v>187</v>
      </c>
      <c r="K6" s="101" t="s">
        <v>136</v>
      </c>
      <c r="L6" s="100" t="s">
        <v>19</v>
      </c>
      <c r="M6" s="102" t="s">
        <v>20</v>
      </c>
      <c r="N6" s="103" t="s">
        <v>167</v>
      </c>
      <c r="O6" s="104" t="s">
        <v>153</v>
      </c>
      <c r="P6" s="105"/>
      <c r="Q6" s="106" t="s">
        <v>154</v>
      </c>
      <c r="R6" s="105" t="s">
        <v>148</v>
      </c>
      <c r="S6" s="105" t="s">
        <v>153</v>
      </c>
      <c r="T6" s="105"/>
      <c r="U6" s="94" t="s">
        <v>190</v>
      </c>
      <c r="V6" s="107" t="str">
        <f>D6</f>
        <v>12/1</v>
      </c>
      <c r="W6" s="108"/>
      <c r="X6" s="107" t="str">
        <f>F6</f>
        <v>12/2</v>
      </c>
      <c r="Y6" s="108"/>
      <c r="Z6" s="107" t="str">
        <f>H6</f>
        <v>13/1</v>
      </c>
      <c r="AA6" s="108"/>
      <c r="AB6" s="107" t="str">
        <f>J6</f>
        <v>13/2</v>
      </c>
      <c r="AC6" s="108"/>
      <c r="AD6" s="109" t="s">
        <v>147</v>
      </c>
      <c r="AE6" s="198" t="s">
        <v>178</v>
      </c>
      <c r="AF6" s="273" t="s">
        <v>197</v>
      </c>
      <c r="AI6" s="212" t="s">
        <v>23</v>
      </c>
      <c r="AJ6" s="295" t="str">
        <f>D34</f>
        <v/>
      </c>
      <c r="AK6" s="296"/>
      <c r="AL6" s="244">
        <f>17/3-5*AJ5/390</f>
        <v>3.8717948717948723</v>
      </c>
      <c r="AM6" s="237"/>
    </row>
    <row r="7" spans="1:39" ht="16.5" thickBot="1">
      <c r="A7" s="94">
        <v>1</v>
      </c>
      <c r="B7" s="94"/>
      <c r="C7" s="110" t="s">
        <v>4</v>
      </c>
      <c r="D7" s="60"/>
      <c r="E7" s="111"/>
      <c r="F7" s="61"/>
      <c r="G7" s="112"/>
      <c r="H7" s="39">
        <v>4</v>
      </c>
      <c r="I7" s="12"/>
      <c r="J7" s="13">
        <v>3</v>
      </c>
      <c r="K7" s="23" t="s">
        <v>136</v>
      </c>
      <c r="L7" s="21"/>
      <c r="M7" s="22"/>
      <c r="N7" s="45"/>
      <c r="O7" s="42">
        <f>IF(AND(ISERROR(S7),ISERROR(T7)),"",IF(ISNUMBER(S7),ROUND(S7,0),ROUND(T7,0)))</f>
        <v>4</v>
      </c>
      <c r="P7" s="1"/>
      <c r="Q7" s="1">
        <f t="shared" ref="Q7:Q25" si="2">IF(A7=1,O7,"")</f>
        <v>4</v>
      </c>
      <c r="R7" s="94">
        <f>COUNTIF(D7:K7,"x")</f>
        <v>1</v>
      </c>
      <c r="S7" s="93">
        <f>IF(AVERAGE(V7:AB7)&lt;1,0,AVERAGE(V7:AB7))</f>
        <v>4</v>
      </c>
      <c r="T7" s="94">
        <f>IF(AVERAGE(D7:J7)&lt;1,0,AVERAGE(D7:J7))</f>
        <v>3.5</v>
      </c>
      <c r="V7" s="242" t="str">
        <f t="shared" ref="V7:V23" si="3">IF(AND(ISNUMBER(D7),E7="",$A7=1),D7,"")</f>
        <v/>
      </c>
      <c r="W7" s="242"/>
      <c r="X7" s="242" t="str">
        <f t="shared" ref="X7:X23" si="4">IF(AND(ISNUMBER(F7),G7="",$A7=1),F7,"")</f>
        <v/>
      </c>
      <c r="Y7" s="242"/>
      <c r="Z7" s="242">
        <f t="shared" ref="Z7:Z23" si="5">IF(AND(ISNUMBER(H7),I7="",$A7=1),H7,"")</f>
        <v>4</v>
      </c>
      <c r="AA7" s="242"/>
      <c r="AB7" s="242" t="str">
        <f t="shared" ref="AB7:AB23" si="6">IF(AND(ISNUMBER(J7),K7="",$A7=1),J7,"")</f>
        <v/>
      </c>
      <c r="AC7" s="242"/>
      <c r="AD7" s="113">
        <f>COUNT(V7:AB7)</f>
        <v>1</v>
      </c>
      <c r="AE7" s="113" t="str">
        <f>IF(Q7="","",IF(Q7&lt;4,IF(Q7=0,2,1),""))</f>
        <v/>
      </c>
      <c r="AF7" s="267"/>
      <c r="AI7" s="264" t="str">
        <f>C35</f>
        <v>Abitur (fachgebunden)</v>
      </c>
      <c r="AJ7" s="315" t="str">
        <f>D35</f>
        <v>nicht bestanden</v>
      </c>
      <c r="AK7" s="316"/>
      <c r="AL7" s="317"/>
      <c r="AM7" s="238"/>
    </row>
    <row r="8" spans="1:39">
      <c r="A8" s="94">
        <v>1</v>
      </c>
      <c r="B8" s="94"/>
      <c r="C8" s="114" t="s">
        <v>5</v>
      </c>
      <c r="D8" s="4"/>
      <c r="E8" s="115"/>
      <c r="F8" s="155"/>
      <c r="G8" s="115"/>
      <c r="H8" s="33">
        <v>4</v>
      </c>
      <c r="I8" s="7"/>
      <c r="J8" s="8">
        <v>5</v>
      </c>
      <c r="K8" s="7"/>
      <c r="L8" s="9">
        <v>10</v>
      </c>
      <c r="M8" s="5"/>
      <c r="N8" s="116">
        <f>IF(ISBLANK(L8),"",IF(ISBLANK(M8),L8,IF((L8*2+M8)/3&lt;1,0,ROUND((L8*2+M8)/3,0))))</f>
        <v>10</v>
      </c>
      <c r="O8" s="43">
        <f>IF(ISBLANK(L8),"",IF(AND(ISERROR(S8),ISERROR(T8)),"",IF(ISNUMBER(S8),ROUND(S8,0),ROUND(T8,0))))</f>
        <v>7</v>
      </c>
      <c r="P8" s="1"/>
      <c r="Q8" s="1">
        <f t="shared" si="2"/>
        <v>7</v>
      </c>
      <c r="R8" s="94">
        <f t="shared" ref="R8:R23" si="7">COUNTIF(D8:K8,"x")</f>
        <v>0</v>
      </c>
      <c r="S8" s="117">
        <f>IF((2*N8+SUM(V8:AB8))/(AD8+2)&lt;1,0,(2*N8+SUM(V8:AB8))/(AD8+2))</f>
        <v>7.25</v>
      </c>
      <c r="T8" s="94">
        <f t="shared" ref="T8:T14" si="8">AVERAGE(D8:J8)</f>
        <v>4.5</v>
      </c>
      <c r="V8" s="242" t="str">
        <f t="shared" si="3"/>
        <v/>
      </c>
      <c r="W8" s="242"/>
      <c r="X8" s="242" t="str">
        <f t="shared" si="4"/>
        <v/>
      </c>
      <c r="Y8" s="242"/>
      <c r="Z8" s="242">
        <f t="shared" si="5"/>
        <v>4</v>
      </c>
      <c r="AA8" s="242"/>
      <c r="AB8" s="242">
        <f t="shared" si="6"/>
        <v>5</v>
      </c>
      <c r="AC8" s="242"/>
      <c r="AD8" s="113">
        <f t="shared" ref="AD8:AD23" si="9">COUNT(V8:AB8)</f>
        <v>2</v>
      </c>
      <c r="AE8" s="113"/>
      <c r="AF8" s="267" t="str">
        <f>IF(M8="","",M8)</f>
        <v/>
      </c>
      <c r="AI8" s="229" t="s">
        <v>171</v>
      </c>
      <c r="AJ8" s="285"/>
      <c r="AK8" s="285"/>
      <c r="AL8" s="285"/>
      <c r="AM8" s="286"/>
    </row>
    <row r="9" spans="1:39">
      <c r="A9" s="94">
        <v>1</v>
      </c>
      <c r="B9" s="94"/>
      <c r="C9" s="114" t="s">
        <v>6</v>
      </c>
      <c r="D9" s="4"/>
      <c r="E9" s="115"/>
      <c r="F9" s="155"/>
      <c r="G9" s="115"/>
      <c r="H9" s="33">
        <v>4</v>
      </c>
      <c r="I9" s="7"/>
      <c r="J9" s="8">
        <v>4</v>
      </c>
      <c r="K9" s="7"/>
      <c r="L9" s="9">
        <v>12</v>
      </c>
      <c r="M9" s="5">
        <v>9</v>
      </c>
      <c r="N9" s="116">
        <f>IF(ISBLANK(L9),"",IF(ISBLANK(M9),L9,IF((L9*2+M9)/3&lt;1,0,ROUND((L9*2+M9)/3,0))))</f>
        <v>11</v>
      </c>
      <c r="O9" s="43">
        <f t="shared" ref="O9:O10" si="10">IF(ISBLANK(L9),"",IF(AND(ISERROR(S9),ISERROR(T9)),"",IF(ISNUMBER(S9),ROUND(S9,0),ROUND(T9,0))))</f>
        <v>8</v>
      </c>
      <c r="P9" s="1"/>
      <c r="Q9" s="1">
        <f t="shared" si="2"/>
        <v>8</v>
      </c>
      <c r="R9" s="94">
        <f t="shared" si="7"/>
        <v>0</v>
      </c>
      <c r="S9" s="117">
        <f t="shared" ref="S9:S10" si="11">IF((2*N9+SUM(V9:AB9))/(AD9+2)&lt;1,0,(2*N9+SUM(V9:AB9))/(AD9+2))</f>
        <v>7.5</v>
      </c>
      <c r="T9" s="94">
        <f t="shared" si="8"/>
        <v>4</v>
      </c>
      <c r="V9" s="242" t="str">
        <f t="shared" si="3"/>
        <v/>
      </c>
      <c r="W9" s="242"/>
      <c r="X9" s="242" t="str">
        <f t="shared" si="4"/>
        <v/>
      </c>
      <c r="Y9" s="242"/>
      <c r="Z9" s="242">
        <f t="shared" si="5"/>
        <v>4</v>
      </c>
      <c r="AA9" s="242"/>
      <c r="AB9" s="242">
        <f t="shared" si="6"/>
        <v>4</v>
      </c>
      <c r="AC9" s="242"/>
      <c r="AD9" s="113">
        <f t="shared" si="9"/>
        <v>2</v>
      </c>
      <c r="AE9" s="113"/>
      <c r="AF9" s="267">
        <f t="shared" ref="AF9:AF14" si="12">IF(M9="","",M9)</f>
        <v>9</v>
      </c>
      <c r="AI9" s="210" t="str">
        <f>C38</f>
        <v>Prüfungsergebnisse</v>
      </c>
      <c r="AJ9" s="289" t="str">
        <f>D38</f>
        <v>erfüllt</v>
      </c>
      <c r="AK9" s="289"/>
      <c r="AL9" s="160" t="s">
        <v>182</v>
      </c>
      <c r="AM9" s="230">
        <f>N37</f>
        <v>0</v>
      </c>
    </row>
    <row r="10" spans="1:39" ht="16.5" thickBot="1">
      <c r="A10" s="94">
        <v>1</v>
      </c>
      <c r="B10" s="94"/>
      <c r="C10" s="114" t="s">
        <v>9</v>
      </c>
      <c r="D10" s="4"/>
      <c r="E10" s="115"/>
      <c r="F10" s="155"/>
      <c r="G10" s="115"/>
      <c r="H10" s="33">
        <v>4</v>
      </c>
      <c r="I10" s="7"/>
      <c r="J10" s="8">
        <v>4</v>
      </c>
      <c r="K10" s="7"/>
      <c r="L10" s="9">
        <v>10</v>
      </c>
      <c r="M10" s="5">
        <v>10</v>
      </c>
      <c r="N10" s="116">
        <f>IF(ISBLANK(L10),"",IF(ISBLANK(M10),L10,IF((L10*2+M10)/3&lt;1,0,ROUND((L10*2+M10)/3,0))))</f>
        <v>10</v>
      </c>
      <c r="O10" s="43">
        <f t="shared" si="10"/>
        <v>7</v>
      </c>
      <c r="P10" s="1"/>
      <c r="Q10" s="1">
        <f t="shared" si="2"/>
        <v>7</v>
      </c>
      <c r="R10" s="94">
        <f t="shared" si="7"/>
        <v>0</v>
      </c>
      <c r="S10" s="117">
        <f t="shared" si="11"/>
        <v>7</v>
      </c>
      <c r="T10" s="94">
        <f t="shared" si="8"/>
        <v>4</v>
      </c>
      <c r="V10" s="242" t="str">
        <f t="shared" si="3"/>
        <v/>
      </c>
      <c r="W10" s="242"/>
      <c r="X10" s="242" t="str">
        <f t="shared" si="4"/>
        <v/>
      </c>
      <c r="Y10" s="242"/>
      <c r="Z10" s="242">
        <f t="shared" si="5"/>
        <v>4</v>
      </c>
      <c r="AA10" s="242"/>
      <c r="AB10" s="242">
        <f t="shared" si="6"/>
        <v>4</v>
      </c>
      <c r="AC10" s="242"/>
      <c r="AD10" s="113">
        <f t="shared" si="9"/>
        <v>2</v>
      </c>
      <c r="AE10" s="113"/>
      <c r="AF10" s="267">
        <f t="shared" si="12"/>
        <v>10</v>
      </c>
      <c r="AI10" s="218" t="str">
        <f>C39</f>
        <v>Gesamtergebnisse</v>
      </c>
      <c r="AJ10" s="318" t="b">
        <f>D39</f>
        <v>0</v>
      </c>
      <c r="AK10" s="318"/>
      <c r="AL10" s="219" t="s">
        <v>182</v>
      </c>
      <c r="AM10" s="220">
        <f>M37</f>
        <v>2</v>
      </c>
    </row>
    <row r="11" spans="1:39" hidden="1">
      <c r="A11" s="156"/>
      <c r="B11" s="156"/>
      <c r="C11" s="157"/>
      <c r="D11" s="158"/>
      <c r="E11" s="115"/>
      <c r="F11" s="155"/>
      <c r="G11" s="115"/>
      <c r="H11" s="173"/>
      <c r="I11" s="7"/>
      <c r="J11" s="174"/>
      <c r="K11" s="7"/>
      <c r="L11" s="69"/>
      <c r="M11" s="70"/>
      <c r="N11" s="118"/>
      <c r="O11" s="71"/>
      <c r="P11" s="1"/>
      <c r="Q11" s="1"/>
      <c r="R11" s="156"/>
      <c r="S11" s="159"/>
      <c r="T11" s="156"/>
      <c r="U11" s="156"/>
      <c r="V11" s="160"/>
      <c r="W11" s="160"/>
      <c r="X11" s="160"/>
      <c r="Y11" s="160"/>
      <c r="Z11" s="160"/>
      <c r="AA11" s="160"/>
      <c r="AB11" s="160"/>
      <c r="AC11" s="160"/>
      <c r="AD11" s="161"/>
      <c r="AE11" s="113"/>
      <c r="AF11" s="267"/>
      <c r="AI11" s="204"/>
      <c r="AJ11" s="94"/>
      <c r="AK11" s="205"/>
      <c r="AL11" s="94"/>
    </row>
    <row r="12" spans="1:39">
      <c r="A12" s="94">
        <v>1</v>
      </c>
      <c r="B12" s="94"/>
      <c r="C12" s="119" t="s">
        <v>162</v>
      </c>
      <c r="D12" s="64"/>
      <c r="E12" s="120"/>
      <c r="F12" s="65"/>
      <c r="G12" s="120"/>
      <c r="H12" s="40">
        <v>4</v>
      </c>
      <c r="I12" s="16"/>
      <c r="J12" s="18">
        <v>5</v>
      </c>
      <c r="K12" s="16"/>
      <c r="L12" s="19"/>
      <c r="M12" s="20"/>
      <c r="N12" s="121"/>
      <c r="O12" s="44">
        <f t="shared" ref="O12:O23" si="13">IF(AND(ISERROR(S12),ISERROR(T12)),"",IF(ISNUMBER(S12),ROUND(S12,0),ROUND(T12,0)))</f>
        <v>5</v>
      </c>
      <c r="P12" s="1"/>
      <c r="Q12" s="1">
        <f t="shared" si="2"/>
        <v>5</v>
      </c>
      <c r="R12" s="94">
        <f t="shared" si="7"/>
        <v>0</v>
      </c>
      <c r="S12" s="93">
        <f>IF(AVERAGE(V12:AB12)&lt;1,0,AVERAGE(V12:AB12))</f>
        <v>4.5</v>
      </c>
      <c r="T12" s="94">
        <f>IF(AVERAGE(D12:J12)&lt;1,0,AVERAGE(D12:J12))</f>
        <v>4.5</v>
      </c>
      <c r="V12" s="242" t="str">
        <f t="shared" si="3"/>
        <v/>
      </c>
      <c r="W12" s="242"/>
      <c r="X12" s="242" t="str">
        <f t="shared" si="4"/>
        <v/>
      </c>
      <c r="Y12" s="242"/>
      <c r="Z12" s="242">
        <f t="shared" si="5"/>
        <v>4</v>
      </c>
      <c r="AA12" s="242"/>
      <c r="AB12" s="242">
        <f t="shared" si="6"/>
        <v>5</v>
      </c>
      <c r="AC12" s="242"/>
      <c r="AD12" s="113">
        <f t="shared" si="9"/>
        <v>2</v>
      </c>
      <c r="AE12" s="113" t="str">
        <f t="shared" ref="AE12:AE25" si="14">IF(Q12="","",IF(Q12&lt;4,IF(Q12=0,2,1),""))</f>
        <v/>
      </c>
      <c r="AF12" s="267"/>
      <c r="AI12" s="287" t="s">
        <v>160</v>
      </c>
      <c r="AJ12" s="287"/>
      <c r="AK12" s="287"/>
      <c r="AL12" s="287"/>
      <c r="AM12" s="287"/>
    </row>
    <row r="13" spans="1:39" s="159" customFormat="1" hidden="1">
      <c r="A13" s="156"/>
      <c r="B13" s="156"/>
      <c r="C13" s="162"/>
      <c r="D13" s="77"/>
      <c r="E13" s="163"/>
      <c r="F13" s="79"/>
      <c r="G13" s="163"/>
      <c r="H13" s="91"/>
      <c r="I13" s="90"/>
      <c r="J13" s="92"/>
      <c r="K13" s="90"/>
      <c r="L13" s="80"/>
      <c r="M13" s="81"/>
      <c r="N13" s="164"/>
      <c r="O13" s="83"/>
      <c r="P13" s="1"/>
      <c r="Q13" s="1"/>
      <c r="R13" s="156"/>
      <c r="T13" s="156"/>
      <c r="U13" s="156"/>
      <c r="V13" s="160"/>
      <c r="W13" s="160"/>
      <c r="X13" s="160"/>
      <c r="Y13" s="160"/>
      <c r="Z13" s="160"/>
      <c r="AA13" s="160"/>
      <c r="AB13" s="160"/>
      <c r="AC13" s="160"/>
      <c r="AD13" s="161"/>
      <c r="AE13" s="113"/>
      <c r="AF13" s="267"/>
      <c r="AH13" s="156"/>
      <c r="AI13" s="156"/>
    </row>
    <row r="14" spans="1:39">
      <c r="A14" s="94">
        <f>IF(C14="-",0,1)</f>
        <v>1</v>
      </c>
      <c r="B14" s="94"/>
      <c r="C14" s="122" t="str">
        <f>VLOOKUP($D$4,Hinweise!$G$23:$N$29,3,FALSE)</f>
        <v>Päd./Psy.</v>
      </c>
      <c r="D14" s="60"/>
      <c r="E14" s="111"/>
      <c r="F14" s="165"/>
      <c r="G14" s="111"/>
      <c r="H14" s="39">
        <v>4</v>
      </c>
      <c r="I14" s="12"/>
      <c r="J14" s="13">
        <v>4</v>
      </c>
      <c r="K14" s="12"/>
      <c r="L14" s="14">
        <v>10</v>
      </c>
      <c r="M14" s="15">
        <v>3</v>
      </c>
      <c r="N14" s="123">
        <f>IF(ISBLANK(L14),"",IF(ISBLANK(M14),L14,IF((L14*2+M14)/3&lt;1,0,ROUND((L14*2+M14)/3,0))))</f>
        <v>8</v>
      </c>
      <c r="O14" s="42">
        <f>IF(ISBLANK(L14),"",IF(AND(ISERROR(S14),ISERROR(T14)),"",IF(ISNUMBER(S14),ROUND(S14,0),ROUND(T14,0))))</f>
        <v>6</v>
      </c>
      <c r="P14" s="1"/>
      <c r="Q14" s="1">
        <f t="shared" si="2"/>
        <v>6</v>
      </c>
      <c r="R14" s="94">
        <f t="shared" si="7"/>
        <v>0</v>
      </c>
      <c r="S14" s="117">
        <f t="shared" ref="S14" si="15">IF((2*N14+SUM(V14:AB14))/(AD14+2)&lt;1,0,(2*N14+SUM(V14:AB14))/(AD14+2))</f>
        <v>6</v>
      </c>
      <c r="T14" s="94">
        <f t="shared" si="8"/>
        <v>4</v>
      </c>
      <c r="V14" s="242" t="str">
        <f t="shared" si="3"/>
        <v/>
      </c>
      <c r="W14" s="242"/>
      <c r="X14" s="242" t="str">
        <f t="shared" si="4"/>
        <v/>
      </c>
      <c r="Y14" s="242"/>
      <c r="Z14" s="242">
        <f t="shared" si="5"/>
        <v>4</v>
      </c>
      <c r="AA14" s="242"/>
      <c r="AB14" s="242">
        <f t="shared" si="6"/>
        <v>4</v>
      </c>
      <c r="AC14" s="242"/>
      <c r="AD14" s="113">
        <f t="shared" si="9"/>
        <v>2</v>
      </c>
      <c r="AE14" s="113"/>
      <c r="AF14" s="267">
        <f t="shared" si="12"/>
        <v>3</v>
      </c>
    </row>
    <row r="15" spans="1:39">
      <c r="A15" s="94">
        <f t="shared" ref="A15:A21" si="16">IF(C15="-",0,1)</f>
        <v>1</v>
      </c>
      <c r="B15" s="94"/>
      <c r="C15" s="122" t="str">
        <f>VLOOKUP($D$4,Hinweise!$G$23:$N$29,4,FALSE)</f>
        <v>Sozialwirtschaft und Recht</v>
      </c>
      <c r="D15" s="4"/>
      <c r="E15" s="115"/>
      <c r="F15" s="155"/>
      <c r="G15" s="115"/>
      <c r="H15" s="33">
        <v>3</v>
      </c>
      <c r="I15" s="7"/>
      <c r="J15" s="8">
        <v>3</v>
      </c>
      <c r="K15" s="7"/>
      <c r="L15" s="10"/>
      <c r="M15" s="6"/>
      <c r="N15" s="46"/>
      <c r="O15" s="43">
        <f t="shared" si="13"/>
        <v>3</v>
      </c>
      <c r="P15" s="1"/>
      <c r="Q15" s="1">
        <f t="shared" si="2"/>
        <v>3</v>
      </c>
      <c r="R15" s="94">
        <f t="shared" si="7"/>
        <v>0</v>
      </c>
      <c r="S15" s="93">
        <f>IF(AVERAGE(V15:AB15)&lt;1,0,AVERAGE(V15:AB15))</f>
        <v>3</v>
      </c>
      <c r="T15" s="94">
        <f>IF(AVERAGE(D15:J15)&lt;1,0,AVERAGE(D15:J15))</f>
        <v>3</v>
      </c>
      <c r="U15" s="94">
        <f>IF(AND((_xlfn.NUMBERVALUE(AB15)&gt;=4),(O15&gt;=4),(AD15=2),(C15="Franz./Span.")),1,0)</f>
        <v>0</v>
      </c>
      <c r="V15" s="242" t="str">
        <f t="shared" si="3"/>
        <v/>
      </c>
      <c r="W15" s="242"/>
      <c r="X15" s="242" t="str">
        <f t="shared" si="4"/>
        <v/>
      </c>
      <c r="Y15" s="242"/>
      <c r="Z15" s="242">
        <f t="shared" si="5"/>
        <v>3</v>
      </c>
      <c r="AA15" s="242"/>
      <c r="AB15" s="242">
        <f t="shared" si="6"/>
        <v>3</v>
      </c>
      <c r="AC15" s="242"/>
      <c r="AD15" s="113">
        <f t="shared" si="9"/>
        <v>2</v>
      </c>
      <c r="AE15" s="113">
        <f t="shared" si="14"/>
        <v>1</v>
      </c>
    </row>
    <row r="16" spans="1:39" hidden="1">
      <c r="A16" s="94"/>
      <c r="B16" s="94"/>
      <c r="C16" s="124"/>
      <c r="D16" s="4"/>
      <c r="E16" s="115"/>
      <c r="F16" s="125"/>
      <c r="G16" s="115"/>
      <c r="H16" s="63"/>
      <c r="I16" s="7"/>
      <c r="J16" s="62"/>
      <c r="K16" s="7"/>
      <c r="L16" s="10"/>
      <c r="M16" s="6"/>
      <c r="N16" s="46"/>
      <c r="O16" s="43"/>
      <c r="P16" s="1"/>
      <c r="Q16" s="1"/>
      <c r="S16" s="93"/>
      <c r="V16" s="242"/>
      <c r="W16" s="242"/>
      <c r="X16" s="242"/>
      <c r="Y16" s="242"/>
      <c r="Z16" s="242"/>
      <c r="AA16" s="242"/>
      <c r="AB16" s="242"/>
      <c r="AC16" s="242"/>
      <c r="AD16" s="113"/>
      <c r="AE16" s="113" t="str">
        <f t="shared" si="14"/>
        <v/>
      </c>
    </row>
    <row r="17" spans="1:39" hidden="1">
      <c r="A17" s="94"/>
      <c r="B17" s="94"/>
      <c r="C17" s="124"/>
      <c r="D17" s="158"/>
      <c r="E17" s="115"/>
      <c r="F17" s="155"/>
      <c r="G17" s="115"/>
      <c r="H17" s="173"/>
      <c r="I17" s="7"/>
      <c r="J17" s="174"/>
      <c r="K17" s="7"/>
      <c r="L17" s="10"/>
      <c r="M17" s="6"/>
      <c r="N17" s="46"/>
      <c r="O17" s="43"/>
      <c r="P17" s="1"/>
      <c r="Q17" s="1"/>
      <c r="S17" s="93"/>
      <c r="V17" s="242"/>
      <c r="W17" s="242"/>
      <c r="X17" s="242"/>
      <c r="Y17" s="242"/>
      <c r="Z17" s="242"/>
      <c r="AA17" s="242"/>
      <c r="AB17" s="242"/>
      <c r="AC17" s="242"/>
      <c r="AD17" s="113"/>
      <c r="AE17" s="113" t="str">
        <f t="shared" si="14"/>
        <v/>
      </c>
    </row>
    <row r="18" spans="1:39" hidden="1">
      <c r="A18" s="94"/>
      <c r="B18" s="94"/>
      <c r="C18" s="124"/>
      <c r="D18" s="126"/>
      <c r="E18" s="115"/>
      <c r="F18" s="155"/>
      <c r="G18" s="115"/>
      <c r="H18" s="63"/>
      <c r="I18" s="7"/>
      <c r="J18" s="62"/>
      <c r="K18" s="7"/>
      <c r="L18" s="10"/>
      <c r="M18" s="6"/>
      <c r="N18" s="46"/>
      <c r="O18" s="43"/>
      <c r="P18" s="1"/>
      <c r="Q18" s="1"/>
      <c r="S18" s="93"/>
      <c r="V18" s="242"/>
      <c r="W18" s="242"/>
      <c r="X18" s="242"/>
      <c r="Y18" s="242"/>
      <c r="Z18" s="242"/>
      <c r="AA18" s="242"/>
      <c r="AB18" s="242"/>
      <c r="AC18" s="242"/>
      <c r="AD18" s="113"/>
      <c r="AE18" s="113" t="str">
        <f t="shared" si="14"/>
        <v/>
      </c>
    </row>
    <row r="19" spans="1:39" hidden="1">
      <c r="A19" s="94"/>
      <c r="B19" s="94"/>
      <c r="C19" s="124"/>
      <c r="D19" s="4"/>
      <c r="E19" s="115"/>
      <c r="F19" s="155"/>
      <c r="G19" s="115"/>
      <c r="H19" s="63"/>
      <c r="I19" s="7"/>
      <c r="J19" s="62"/>
      <c r="K19" s="7"/>
      <c r="L19" s="10"/>
      <c r="M19" s="6"/>
      <c r="N19" s="46"/>
      <c r="O19" s="43"/>
      <c r="P19" s="1"/>
      <c r="Q19" s="1"/>
      <c r="S19" s="93"/>
      <c r="V19" s="242"/>
      <c r="W19" s="242"/>
      <c r="X19" s="242"/>
      <c r="Y19" s="242"/>
      <c r="Z19" s="242"/>
      <c r="AA19" s="242"/>
      <c r="AB19" s="242"/>
      <c r="AC19" s="242"/>
      <c r="AD19" s="113"/>
      <c r="AE19" s="113" t="str">
        <f t="shared" si="14"/>
        <v/>
      </c>
    </row>
    <row r="20" spans="1:39">
      <c r="A20" s="94">
        <f t="shared" si="16"/>
        <v>1</v>
      </c>
      <c r="B20" s="94"/>
      <c r="C20" s="122" t="str">
        <f>VLOOKUP($D$4,Hinweise!$G$23:$N$29,5,FALSE)</f>
        <v>Biologie</v>
      </c>
      <c r="D20" s="4"/>
      <c r="E20" s="115"/>
      <c r="F20" s="3"/>
      <c r="G20" s="115"/>
      <c r="H20" s="33">
        <v>1</v>
      </c>
      <c r="I20" s="7" t="s">
        <v>136</v>
      </c>
      <c r="J20" s="8">
        <v>8</v>
      </c>
      <c r="K20" s="7"/>
      <c r="L20" s="10"/>
      <c r="M20" s="6"/>
      <c r="N20" s="46"/>
      <c r="O20" s="43">
        <f t="shared" si="13"/>
        <v>8</v>
      </c>
      <c r="P20" s="1"/>
      <c r="Q20" s="1">
        <f t="shared" si="2"/>
        <v>8</v>
      </c>
      <c r="R20" s="94">
        <f t="shared" si="7"/>
        <v>1</v>
      </c>
      <c r="S20" s="93">
        <f>IF(AVERAGE(V20:AB20)&lt;1,0,AVERAGE(V20:AB20))</f>
        <v>8</v>
      </c>
      <c r="T20" s="94">
        <f>IF(AVERAGE(D20:J20)&lt;1,0,AVERAGE(D20:J20))</f>
        <v>4.5</v>
      </c>
      <c r="V20" s="242" t="str">
        <f t="shared" si="3"/>
        <v/>
      </c>
      <c r="W20" s="242"/>
      <c r="X20" s="242" t="str">
        <f t="shared" si="4"/>
        <v/>
      </c>
      <c r="Y20" s="242"/>
      <c r="Z20" s="242" t="str">
        <f t="shared" si="5"/>
        <v/>
      </c>
      <c r="AA20" s="242"/>
      <c r="AB20" s="242">
        <f t="shared" si="6"/>
        <v>8</v>
      </c>
      <c r="AC20" s="242"/>
      <c r="AD20" s="113">
        <f t="shared" si="9"/>
        <v>1</v>
      </c>
      <c r="AE20" s="113" t="str">
        <f t="shared" si="14"/>
        <v/>
      </c>
    </row>
    <row r="21" spans="1:39" hidden="1">
      <c r="A21" s="94">
        <f t="shared" si="16"/>
        <v>1</v>
      </c>
      <c r="B21" s="94"/>
      <c r="C21" s="122"/>
      <c r="D21" s="66"/>
      <c r="E21" s="128"/>
      <c r="F21" s="67"/>
      <c r="G21" s="128"/>
      <c r="H21" s="63"/>
      <c r="I21" s="49"/>
      <c r="J21" s="63"/>
      <c r="K21" s="49"/>
      <c r="L21" s="52"/>
      <c r="M21" s="53"/>
      <c r="N21" s="54"/>
      <c r="O21" s="55"/>
      <c r="P21" s="1"/>
      <c r="Q21" s="1"/>
      <c r="S21" s="93"/>
      <c r="V21" s="242"/>
      <c r="W21" s="242"/>
      <c r="X21" s="242"/>
      <c r="Y21" s="242"/>
      <c r="Z21" s="242"/>
      <c r="AA21" s="242"/>
      <c r="AB21" s="242"/>
      <c r="AC21" s="242"/>
      <c r="AD21" s="113"/>
      <c r="AE21" s="113" t="str">
        <f t="shared" si="14"/>
        <v/>
      </c>
    </row>
    <row r="22" spans="1:39">
      <c r="A22" s="94">
        <f>IF(OR(C22="-",VLOOKUP(C22,Hinweise!$C$6:$D$37,2,FALSE)=0),0,1)</f>
        <v>0</v>
      </c>
      <c r="B22" s="94"/>
      <c r="C22" s="37" t="s">
        <v>176</v>
      </c>
      <c r="D22" s="68"/>
      <c r="E22" s="112"/>
      <c r="F22" s="61"/>
      <c r="G22" s="112"/>
      <c r="H22" s="41">
        <v>10</v>
      </c>
      <c r="I22" s="23"/>
      <c r="J22" s="25">
        <v>10</v>
      </c>
      <c r="K22" s="23"/>
      <c r="L22" s="26"/>
      <c r="M22" s="27"/>
      <c r="N22" s="45"/>
      <c r="O22" s="56">
        <f t="shared" si="13"/>
        <v>10</v>
      </c>
      <c r="P22" s="1"/>
      <c r="Q22" s="1" t="str">
        <f t="shared" si="2"/>
        <v/>
      </c>
      <c r="R22" s="94">
        <f t="shared" si="7"/>
        <v>0</v>
      </c>
      <c r="S22" s="93" t="e">
        <f t="shared" ref="S22:S23" si="17">IF(AVERAGE(V22:AB22)&lt;1,0,AVERAGE(V22:AB22))</f>
        <v>#DIV/0!</v>
      </c>
      <c r="T22" s="94">
        <f t="shared" ref="T22:T23" si="18">IF(AVERAGE(D22:J22)&lt;1,0,AVERAGE(D22:J22))</f>
        <v>10</v>
      </c>
      <c r="U22" s="94">
        <f>IF(AND((_xlfn.NUMBERVALUE(AB22)&gt;=4),(O22&gt;=4),(AD22=2),(OR(C22="Spanisch (fortgeführt)",C22="Französisch (fortgeführt)"))),1,0)</f>
        <v>0</v>
      </c>
      <c r="V22" s="242" t="str">
        <f t="shared" si="3"/>
        <v/>
      </c>
      <c r="W22" s="242"/>
      <c r="X22" s="242" t="str">
        <f t="shared" si="4"/>
        <v/>
      </c>
      <c r="Y22" s="242"/>
      <c r="Z22" s="242" t="str">
        <f t="shared" si="5"/>
        <v/>
      </c>
      <c r="AA22" s="242"/>
      <c r="AB22" s="242" t="str">
        <f t="shared" si="6"/>
        <v/>
      </c>
      <c r="AC22" s="242"/>
      <c r="AD22" s="113">
        <f t="shared" si="9"/>
        <v>0</v>
      </c>
      <c r="AE22" s="113" t="str">
        <f t="shared" si="14"/>
        <v/>
      </c>
    </row>
    <row r="23" spans="1:39">
      <c r="A23" s="94">
        <f>IF(OR(C23="-",VLOOKUP(C23,Hinweise!$C$6:$D$37,2,FALSE)=0),0,1)</f>
        <v>0</v>
      </c>
      <c r="B23" s="94"/>
      <c r="C23" s="38" t="s">
        <v>129</v>
      </c>
      <c r="D23" s="4"/>
      <c r="E23" s="115"/>
      <c r="F23" s="3"/>
      <c r="G23" s="115"/>
      <c r="H23" s="33"/>
      <c r="I23" s="7"/>
      <c r="J23" s="8"/>
      <c r="K23" s="7"/>
      <c r="L23" s="10"/>
      <c r="M23" s="6"/>
      <c r="N23" s="46"/>
      <c r="O23" s="43" t="str">
        <f t="shared" si="13"/>
        <v/>
      </c>
      <c r="P23" s="1"/>
      <c r="Q23" s="1" t="str">
        <f t="shared" si="2"/>
        <v/>
      </c>
      <c r="R23" s="94">
        <f t="shared" si="7"/>
        <v>0</v>
      </c>
      <c r="S23" s="93" t="e">
        <f t="shared" si="17"/>
        <v>#DIV/0!</v>
      </c>
      <c r="T23" s="94" t="e">
        <f t="shared" si="18"/>
        <v>#DIV/0!</v>
      </c>
      <c r="V23" s="242" t="str">
        <f t="shared" si="3"/>
        <v/>
      </c>
      <c r="W23" s="242"/>
      <c r="X23" s="242" t="str">
        <f t="shared" si="4"/>
        <v/>
      </c>
      <c r="Y23" s="242"/>
      <c r="Z23" s="242" t="str">
        <f t="shared" si="5"/>
        <v/>
      </c>
      <c r="AA23" s="242"/>
      <c r="AB23" s="242" t="str">
        <f t="shared" si="6"/>
        <v/>
      </c>
      <c r="AC23" s="242"/>
      <c r="AD23" s="113">
        <f t="shared" si="9"/>
        <v>0</v>
      </c>
      <c r="AE23" s="113" t="str">
        <f t="shared" si="14"/>
        <v/>
      </c>
    </row>
    <row r="24" spans="1:39" hidden="1">
      <c r="A24" s="156"/>
      <c r="B24" s="156"/>
      <c r="C24" s="166"/>
      <c r="D24" s="66"/>
      <c r="E24" s="128"/>
      <c r="F24" s="67"/>
      <c r="G24" s="128"/>
      <c r="H24" s="167"/>
      <c r="I24" s="128"/>
      <c r="J24" s="168"/>
      <c r="K24" s="169"/>
      <c r="L24" s="72"/>
      <c r="M24" s="73"/>
      <c r="N24" s="74"/>
      <c r="O24" s="75"/>
      <c r="P24" s="1"/>
      <c r="Q24" s="1"/>
      <c r="R24" s="156"/>
      <c r="S24" s="159"/>
      <c r="T24" s="156"/>
      <c r="U24" s="156"/>
      <c r="V24" s="160"/>
      <c r="W24" s="160"/>
      <c r="X24" s="160"/>
      <c r="Y24" s="160"/>
      <c r="Z24" s="160"/>
      <c r="AA24" s="160"/>
      <c r="AB24" s="160"/>
      <c r="AC24" s="160"/>
      <c r="AD24" s="161"/>
      <c r="AE24" s="113" t="str">
        <f t="shared" si="14"/>
        <v/>
      </c>
      <c r="AF24" s="159"/>
      <c r="AG24" s="159"/>
    </row>
    <row r="25" spans="1:39">
      <c r="A25" s="94">
        <v>1</v>
      </c>
      <c r="B25" s="94"/>
      <c r="C25" s="110" t="s">
        <v>184</v>
      </c>
      <c r="D25" s="84"/>
      <c r="E25" s="85"/>
      <c r="F25" s="84"/>
      <c r="G25" s="85"/>
      <c r="H25" s="319">
        <v>1</v>
      </c>
      <c r="I25" s="319"/>
      <c r="J25" s="319"/>
      <c r="K25" s="319"/>
      <c r="L25" s="86"/>
      <c r="M25" s="87"/>
      <c r="N25" s="88"/>
      <c r="O25" s="89">
        <f>IF(H25="","",H25)</f>
        <v>1</v>
      </c>
      <c r="P25" s="1"/>
      <c r="Q25" s="1">
        <f t="shared" si="2"/>
        <v>1</v>
      </c>
      <c r="S25" s="93"/>
      <c r="T25" s="94" t="str">
        <f t="shared" ref="T25" si="19">IF(A25=0,AVERAGE(D25:J25),"")</f>
        <v/>
      </c>
      <c r="V25" s="1"/>
      <c r="W25" s="1"/>
      <c r="X25" s="1"/>
      <c r="Y25" s="1"/>
      <c r="Z25" s="1"/>
      <c r="AA25" s="1"/>
      <c r="AB25" s="1"/>
      <c r="AC25" s="1"/>
      <c r="AD25" s="129">
        <f>SUM(AD7:AD24)</f>
        <v>14</v>
      </c>
      <c r="AE25" s="113">
        <f t="shared" si="14"/>
        <v>1</v>
      </c>
    </row>
    <row r="26" spans="1:39" hidden="1">
      <c r="A26" s="156"/>
      <c r="B26" s="156"/>
      <c r="C26" s="170"/>
      <c r="D26" s="77"/>
      <c r="E26" s="76"/>
      <c r="F26" s="79"/>
      <c r="G26" s="76"/>
      <c r="H26" s="77"/>
      <c r="I26" s="78"/>
      <c r="J26" s="79"/>
      <c r="K26" s="78"/>
      <c r="L26" s="80"/>
      <c r="M26" s="81"/>
      <c r="N26" s="82"/>
      <c r="O26" s="83"/>
      <c r="P26" s="1"/>
      <c r="Q26" s="1"/>
      <c r="R26" s="156"/>
      <c r="S26" s="159"/>
      <c r="T26" s="156"/>
      <c r="U26" s="156"/>
      <c r="V26" s="1"/>
      <c r="W26" s="1"/>
      <c r="X26" s="1"/>
      <c r="Y26" s="1"/>
      <c r="Z26" s="1"/>
      <c r="AA26" s="1"/>
      <c r="AB26" s="1"/>
      <c r="AC26" s="1"/>
      <c r="AD26" s="171"/>
      <c r="AE26" s="171"/>
      <c r="AF26" s="159"/>
    </row>
    <row r="27" spans="1:39">
      <c r="C27" s="132" t="s">
        <v>159</v>
      </c>
      <c r="D27" s="310" t="s">
        <v>25</v>
      </c>
      <c r="E27" s="310"/>
      <c r="F27" s="310"/>
      <c r="G27" s="310"/>
      <c r="H27" s="310"/>
      <c r="I27" s="310"/>
      <c r="J27" s="310"/>
      <c r="K27" s="310"/>
      <c r="M27" s="274">
        <f>AF5</f>
        <v>3</v>
      </c>
    </row>
    <row r="28" spans="1:39">
      <c r="D28" s="311" t="str">
        <f>IF(OR(H25=0,AE5&gt;2),"Zur Prüfung nicht zugelassen","")</f>
        <v/>
      </c>
      <c r="E28" s="311"/>
      <c r="F28" s="311"/>
      <c r="G28" s="311"/>
      <c r="H28" s="311"/>
      <c r="I28" s="311"/>
      <c r="J28" s="311"/>
      <c r="K28" s="311"/>
    </row>
    <row r="29" spans="1:39" s="94" customFormat="1">
      <c r="A29" s="93"/>
      <c r="B29" s="93"/>
      <c r="C29" s="133" t="s">
        <v>188</v>
      </c>
      <c r="D29" s="291">
        <f>2*SUM(N8:N14)</f>
        <v>78</v>
      </c>
      <c r="E29" s="292"/>
      <c r="F29" s="291" t="s">
        <v>174</v>
      </c>
      <c r="G29" s="292"/>
      <c r="H29" s="196">
        <f>U46</f>
        <v>4</v>
      </c>
      <c r="I29" s="93"/>
      <c r="J29" s="192"/>
      <c r="K29" s="193"/>
      <c r="L29" s="223" t="s">
        <v>166</v>
      </c>
      <c r="M29" s="223" t="s">
        <v>153</v>
      </c>
      <c r="N29" s="224" t="s">
        <v>167</v>
      </c>
      <c r="O29" s="93"/>
      <c r="P29" s="93"/>
      <c r="Q29" s="93"/>
      <c r="R29" s="108" t="s">
        <v>24</v>
      </c>
      <c r="S29" s="108" t="s">
        <v>168</v>
      </c>
      <c r="T29" s="108" t="s">
        <v>169</v>
      </c>
      <c r="U29" s="108" t="s">
        <v>170</v>
      </c>
      <c r="AD29" s="95"/>
      <c r="AE29" s="95"/>
      <c r="AF29" s="93"/>
      <c r="AG29" s="93"/>
      <c r="AJ29" s="93"/>
      <c r="AK29" s="93"/>
      <c r="AL29" s="93"/>
      <c r="AM29" s="93"/>
    </row>
    <row r="30" spans="1:39" s="94" customFormat="1">
      <c r="A30" s="93"/>
      <c r="B30" s="93"/>
      <c r="C30" s="99" t="s">
        <v>185</v>
      </c>
      <c r="D30" s="291">
        <f>SUM(V7:AC24)</f>
        <v>60</v>
      </c>
      <c r="E30" s="292"/>
      <c r="F30" s="291" t="s">
        <v>157</v>
      </c>
      <c r="G30" s="292"/>
      <c r="H30" s="240">
        <f>S46</f>
        <v>14</v>
      </c>
      <c r="I30" s="93"/>
      <c r="J30" s="137" t="s">
        <v>104</v>
      </c>
      <c r="K30" s="138"/>
      <c r="L30" s="139">
        <f>S30</f>
        <v>0</v>
      </c>
      <c r="M30" s="139">
        <f>T30</f>
        <v>0</v>
      </c>
      <c r="N30" s="140">
        <f>U30</f>
        <v>0</v>
      </c>
      <c r="O30" s="93"/>
      <c r="P30" s="93"/>
      <c r="Q30" s="93"/>
      <c r="R30" s="242">
        <v>0</v>
      </c>
      <c r="S30" s="242">
        <f t="shared" ref="S30:S45" si="20">COUNTIF($V$7:$AC$24,R30)</f>
        <v>0</v>
      </c>
      <c r="T30" s="242">
        <f>COUNTIF($Q$7:$Q$26,R30)</f>
        <v>0</v>
      </c>
      <c r="U30" s="242">
        <f t="shared" ref="U30:U45" si="21">COUNTIF($N$8:$N$14,R30)</f>
        <v>0</v>
      </c>
      <c r="AD30" s="95"/>
      <c r="AE30" s="95"/>
      <c r="AF30" s="93"/>
      <c r="AG30" s="93"/>
      <c r="AJ30" s="93"/>
      <c r="AK30" s="93"/>
      <c r="AL30" s="93"/>
      <c r="AM30" s="93"/>
    </row>
    <row r="31" spans="1:39" s="94" customFormat="1">
      <c r="A31" s="93"/>
      <c r="B31" s="93"/>
      <c r="C31" s="133" t="s">
        <v>189</v>
      </c>
      <c r="D31" s="291">
        <f>H25*2</f>
        <v>2</v>
      </c>
      <c r="E31" s="292"/>
      <c r="F31" s="134"/>
      <c r="G31" s="135"/>
      <c r="H31" s="136"/>
      <c r="I31" s="93"/>
      <c r="J31" s="137" t="s">
        <v>105</v>
      </c>
      <c r="K31" s="138"/>
      <c r="L31" s="139">
        <f t="shared" ref="L31:N35" si="22">S31</f>
        <v>0</v>
      </c>
      <c r="M31" s="139">
        <f t="shared" si="22"/>
        <v>1</v>
      </c>
      <c r="N31" s="140">
        <f t="shared" si="22"/>
        <v>0</v>
      </c>
      <c r="O31" s="93"/>
      <c r="P31" s="93"/>
      <c r="Q31" s="93"/>
      <c r="R31" s="242">
        <v>1</v>
      </c>
      <c r="S31" s="242">
        <f t="shared" si="20"/>
        <v>0</v>
      </c>
      <c r="T31" s="242">
        <f t="shared" ref="T31:T45" si="23">COUNTIF($Q$7:$Q$26,R31)</f>
        <v>1</v>
      </c>
      <c r="U31" s="242">
        <f t="shared" si="21"/>
        <v>0</v>
      </c>
      <c r="AD31" s="95"/>
      <c r="AE31" s="95"/>
      <c r="AF31" s="93"/>
      <c r="AG31" s="93"/>
      <c r="AJ31" s="93"/>
      <c r="AK31" s="93"/>
      <c r="AL31" s="93"/>
      <c r="AM31" s="93"/>
    </row>
    <row r="32" spans="1:39" s="94" customFormat="1">
      <c r="A32" s="93"/>
      <c r="B32" s="93"/>
      <c r="C32" s="172"/>
      <c r="D32" s="292"/>
      <c r="E32" s="292"/>
      <c r="F32" s="135"/>
      <c r="G32" s="135"/>
      <c r="H32" s="136"/>
      <c r="I32" s="93"/>
      <c r="J32" s="137" t="s">
        <v>106</v>
      </c>
      <c r="K32" s="138"/>
      <c r="L32" s="139">
        <f t="shared" si="22"/>
        <v>0</v>
      </c>
      <c r="M32" s="139">
        <f t="shared" si="22"/>
        <v>0</v>
      </c>
      <c r="N32" s="140">
        <f t="shared" si="22"/>
        <v>0</v>
      </c>
      <c r="O32" s="93"/>
      <c r="P32" s="93"/>
      <c r="Q32" s="93"/>
      <c r="R32" s="242">
        <v>2</v>
      </c>
      <c r="S32" s="242">
        <f t="shared" si="20"/>
        <v>0</v>
      </c>
      <c r="T32" s="242">
        <f t="shared" si="23"/>
        <v>0</v>
      </c>
      <c r="U32" s="242">
        <f t="shared" si="21"/>
        <v>0</v>
      </c>
      <c r="AD32" s="95"/>
      <c r="AE32" s="95"/>
      <c r="AF32" s="93"/>
      <c r="AG32" s="93"/>
      <c r="AJ32" s="93"/>
      <c r="AK32" s="93"/>
      <c r="AL32" s="93"/>
      <c r="AM32" s="93"/>
    </row>
    <row r="33" spans="1:39" s="94" customFormat="1">
      <c r="A33" s="93"/>
      <c r="B33" s="93"/>
      <c r="C33" s="141" t="s">
        <v>158</v>
      </c>
      <c r="D33" s="293">
        <f>SUM(D29:D32)</f>
        <v>140</v>
      </c>
      <c r="E33" s="294"/>
      <c r="F33" s="134" t="s">
        <v>196</v>
      </c>
      <c r="G33" s="135"/>
      <c r="H33" s="136"/>
      <c r="I33" s="93"/>
      <c r="J33" s="137" t="s">
        <v>107</v>
      </c>
      <c r="K33" s="138"/>
      <c r="L33" s="139">
        <f t="shared" si="22"/>
        <v>2</v>
      </c>
      <c r="M33" s="139">
        <f t="shared" si="22"/>
        <v>1</v>
      </c>
      <c r="N33" s="140">
        <f t="shared" si="22"/>
        <v>0</v>
      </c>
      <c r="O33" s="93"/>
      <c r="P33" s="93"/>
      <c r="Q33" s="93"/>
      <c r="R33" s="242">
        <v>3</v>
      </c>
      <c r="S33" s="242">
        <f t="shared" si="20"/>
        <v>2</v>
      </c>
      <c r="T33" s="242">
        <f t="shared" si="23"/>
        <v>1</v>
      </c>
      <c r="U33" s="242">
        <f t="shared" si="21"/>
        <v>0</v>
      </c>
      <c r="AD33" s="95"/>
      <c r="AE33" s="95"/>
      <c r="AF33" s="93"/>
      <c r="AG33" s="93"/>
      <c r="AJ33" s="93"/>
      <c r="AK33" s="93"/>
      <c r="AL33" s="93"/>
      <c r="AM33" s="93"/>
    </row>
    <row r="34" spans="1:39" s="94" customFormat="1">
      <c r="A34" s="93"/>
      <c r="B34" s="93"/>
      <c r="C34" s="141" t="s">
        <v>23</v>
      </c>
      <c r="D34" s="295" t="str">
        <f>IF(D35="bestanden",INT(F34*10)/10,"")</f>
        <v/>
      </c>
      <c r="E34" s="296"/>
      <c r="F34" s="244">
        <f>17/3-5*D33/390</f>
        <v>3.8717948717948723</v>
      </c>
      <c r="G34" s="134"/>
      <c r="H34" s="136"/>
      <c r="I34" s="93"/>
      <c r="J34" s="142" t="s">
        <v>149</v>
      </c>
      <c r="K34" s="143"/>
      <c r="L34" s="144">
        <f t="shared" si="22"/>
        <v>9</v>
      </c>
      <c r="M34" s="144">
        <f t="shared" si="22"/>
        <v>1</v>
      </c>
      <c r="N34" s="145">
        <f t="shared" si="22"/>
        <v>0</v>
      </c>
      <c r="O34" s="93"/>
      <c r="P34" s="93"/>
      <c r="Q34" s="93"/>
      <c r="R34" s="242">
        <v>4</v>
      </c>
      <c r="S34" s="242">
        <f t="shared" si="20"/>
        <v>9</v>
      </c>
      <c r="T34" s="242">
        <f t="shared" si="23"/>
        <v>1</v>
      </c>
      <c r="U34" s="242">
        <f t="shared" si="21"/>
        <v>0</v>
      </c>
      <c r="AD34" s="95"/>
      <c r="AE34" s="95"/>
      <c r="AF34" s="93"/>
      <c r="AG34" s="93"/>
      <c r="AJ34" s="93"/>
      <c r="AK34" s="93"/>
      <c r="AL34" s="93"/>
      <c r="AM34" s="93"/>
    </row>
    <row r="35" spans="1:39" s="94" customFormat="1">
      <c r="A35" s="93"/>
      <c r="B35" s="93"/>
      <c r="C35" s="264" t="str">
        <f>IF(SUM(U15+U22)&gt;0,"Abitur (allgemein)","Abitur (fachgebunden)")</f>
        <v>Abitur (fachgebunden)</v>
      </c>
      <c r="D35" s="297" t="str">
        <f>IF(AND(E41=0,H30=16,U46=4,H25&gt;0,M27&lt;4),"bestanden","nicht bestanden")</f>
        <v>nicht bestanden</v>
      </c>
      <c r="E35" s="298"/>
      <c r="F35" s="293"/>
      <c r="G35" s="135"/>
      <c r="H35" s="136"/>
      <c r="I35" s="93"/>
      <c r="J35" s="142" t="s">
        <v>150</v>
      </c>
      <c r="K35" s="143"/>
      <c r="L35" s="144">
        <f t="shared" si="22"/>
        <v>2</v>
      </c>
      <c r="M35" s="144">
        <f t="shared" si="22"/>
        <v>1</v>
      </c>
      <c r="N35" s="145">
        <f t="shared" si="22"/>
        <v>0</v>
      </c>
      <c r="O35" s="93"/>
      <c r="P35" s="93"/>
      <c r="Q35" s="93"/>
      <c r="R35" s="242">
        <v>5</v>
      </c>
      <c r="S35" s="242">
        <f t="shared" si="20"/>
        <v>2</v>
      </c>
      <c r="T35" s="242">
        <f t="shared" si="23"/>
        <v>1</v>
      </c>
      <c r="U35" s="242">
        <f t="shared" si="21"/>
        <v>0</v>
      </c>
      <c r="AD35" s="95"/>
      <c r="AE35" s="95"/>
      <c r="AF35" s="93"/>
      <c r="AG35" s="93"/>
      <c r="AJ35" s="93"/>
      <c r="AK35" s="93"/>
      <c r="AL35" s="93"/>
      <c r="AM35" s="93"/>
    </row>
    <row r="36" spans="1:39" s="94" customFormat="1">
      <c r="A36" s="93"/>
      <c r="B36" s="93"/>
      <c r="C36" s="93"/>
      <c r="D36" s="93"/>
      <c r="E36" s="93"/>
      <c r="F36" s="93"/>
      <c r="G36" s="93"/>
      <c r="H36" s="93"/>
      <c r="I36" s="93"/>
      <c r="J36" s="293" t="s">
        <v>151</v>
      </c>
      <c r="K36" s="294"/>
      <c r="L36" s="241">
        <f>SUM(L30:L33)</f>
        <v>2</v>
      </c>
      <c r="M36" s="241">
        <f>SUM(M30:M33)</f>
        <v>2</v>
      </c>
      <c r="N36" s="240">
        <f>SUM(N30:N33)</f>
        <v>0</v>
      </c>
      <c r="O36" s="93"/>
      <c r="P36" s="93"/>
      <c r="Q36" s="93"/>
      <c r="R36" s="242">
        <v>6</v>
      </c>
      <c r="S36" s="242">
        <f t="shared" si="20"/>
        <v>0</v>
      </c>
      <c r="T36" s="242">
        <f t="shared" si="23"/>
        <v>1</v>
      </c>
      <c r="U36" s="242">
        <f t="shared" si="21"/>
        <v>0</v>
      </c>
      <c r="AD36" s="95"/>
      <c r="AE36" s="95"/>
      <c r="AF36" s="93"/>
      <c r="AG36" s="93"/>
      <c r="AJ36" s="93"/>
      <c r="AK36" s="93"/>
      <c r="AL36" s="93"/>
      <c r="AM36" s="93"/>
    </row>
    <row r="37" spans="1:39" s="94" customFormat="1">
      <c r="A37" s="93"/>
      <c r="B37" s="93"/>
      <c r="C37" s="146" t="s">
        <v>172</v>
      </c>
      <c r="D37" s="299"/>
      <c r="E37" s="299"/>
      <c r="F37" s="299"/>
      <c r="G37" s="93"/>
      <c r="H37" s="93"/>
      <c r="I37" s="93"/>
      <c r="J37" s="194" t="s">
        <v>152</v>
      </c>
      <c r="K37" s="195"/>
      <c r="L37" s="191">
        <f>2*L30+L31+L32+L33</f>
        <v>2</v>
      </c>
      <c r="M37" s="191">
        <f>2*M30+M31+M32+M33</f>
        <v>2</v>
      </c>
      <c r="N37" s="89">
        <f>2*N30+N31+N32+N33</f>
        <v>0</v>
      </c>
      <c r="O37" s="93"/>
      <c r="P37" s="93"/>
      <c r="Q37" s="93"/>
      <c r="R37" s="242">
        <v>7</v>
      </c>
      <c r="S37" s="242">
        <f t="shared" si="20"/>
        <v>0</v>
      </c>
      <c r="T37" s="242">
        <f t="shared" si="23"/>
        <v>2</v>
      </c>
      <c r="U37" s="242">
        <f t="shared" si="21"/>
        <v>0</v>
      </c>
      <c r="AD37" s="95"/>
      <c r="AE37" s="95"/>
      <c r="AF37" s="93"/>
      <c r="AG37" s="93"/>
      <c r="AJ37" s="93"/>
      <c r="AK37" s="93"/>
      <c r="AL37" s="93"/>
      <c r="AM37" s="93"/>
    </row>
    <row r="38" spans="1:39" s="94" customFormat="1">
      <c r="A38" s="93"/>
      <c r="B38" s="93"/>
      <c r="C38" s="206" t="s">
        <v>180</v>
      </c>
      <c r="D38" s="288" t="str">
        <f>IF(AND(N30=0,N37&lt;3,U46=4),"erfüllt","nicht erfüllt")</f>
        <v>erfüllt</v>
      </c>
      <c r="E38" s="288"/>
      <c r="F38" s="288"/>
      <c r="G38" s="93"/>
      <c r="H38" s="93"/>
      <c r="I38" s="93"/>
      <c r="J38" s="147"/>
      <c r="K38" s="147"/>
      <c r="L38" s="243"/>
      <c r="M38" s="93"/>
      <c r="N38" s="93"/>
      <c r="O38" s="93"/>
      <c r="P38" s="93"/>
      <c r="Q38" s="93"/>
      <c r="R38" s="242">
        <v>8</v>
      </c>
      <c r="S38" s="242">
        <f t="shared" si="20"/>
        <v>1</v>
      </c>
      <c r="T38" s="242">
        <f t="shared" si="23"/>
        <v>2</v>
      </c>
      <c r="U38" s="242">
        <f t="shared" si="21"/>
        <v>1</v>
      </c>
      <c r="AD38" s="95"/>
      <c r="AE38" s="95"/>
      <c r="AF38" s="93"/>
      <c r="AG38" s="93"/>
      <c r="AJ38" s="93"/>
      <c r="AK38" s="93"/>
      <c r="AL38" s="93"/>
      <c r="AM38" s="93"/>
    </row>
    <row r="39" spans="1:39" s="94" customFormat="1">
      <c r="A39" s="93"/>
      <c r="B39" s="93"/>
      <c r="C39" s="214" t="s">
        <v>181</v>
      </c>
      <c r="D39" s="289" t="b">
        <f>IF(H30=16,IF(OR((M37=0),AND(M37=1,D33&gt;=130),AND(M37=2,D33&gt;=156)),"erfüllt","nicht erfüllt"))</f>
        <v>0</v>
      </c>
      <c r="E39" s="289"/>
      <c r="F39" s="289"/>
      <c r="G39" s="93"/>
      <c r="H39" s="93"/>
      <c r="I39" s="93"/>
      <c r="J39" s="149"/>
      <c r="K39" s="149"/>
      <c r="L39" s="93"/>
      <c r="M39" s="93"/>
      <c r="N39" s="93"/>
      <c r="O39" s="93"/>
      <c r="P39" s="93"/>
      <c r="Q39" s="93"/>
      <c r="R39" s="242">
        <v>9</v>
      </c>
      <c r="S39" s="242">
        <f t="shared" si="20"/>
        <v>0</v>
      </c>
      <c r="T39" s="242">
        <f t="shared" si="23"/>
        <v>0</v>
      </c>
      <c r="U39" s="242">
        <f t="shared" si="21"/>
        <v>0</v>
      </c>
      <c r="AD39" s="95"/>
      <c r="AE39" s="95"/>
      <c r="AF39" s="93"/>
      <c r="AG39" s="93"/>
      <c r="AJ39" s="93"/>
      <c r="AK39" s="93"/>
      <c r="AL39" s="93"/>
      <c r="AM39" s="93"/>
    </row>
    <row r="40" spans="1:39" s="94" customFormat="1">
      <c r="A40" s="93"/>
      <c r="B40" s="93"/>
      <c r="C40" s="216"/>
      <c r="D40" s="290"/>
      <c r="E40" s="290"/>
      <c r="F40" s="290"/>
      <c r="G40" s="93"/>
      <c r="H40" s="93"/>
      <c r="I40" s="93"/>
      <c r="J40" s="149"/>
      <c r="K40" s="149"/>
      <c r="L40" s="93"/>
      <c r="M40" s="93"/>
      <c r="N40" s="93"/>
      <c r="O40" s="93"/>
      <c r="P40" s="93"/>
      <c r="Q40" s="93"/>
      <c r="R40" s="242">
        <v>10</v>
      </c>
      <c r="S40" s="242">
        <f t="shared" si="20"/>
        <v>0</v>
      </c>
      <c r="T40" s="242">
        <f t="shared" si="23"/>
        <v>0</v>
      </c>
      <c r="U40" s="242">
        <f t="shared" si="21"/>
        <v>2</v>
      </c>
      <c r="AD40" s="95"/>
      <c r="AE40" s="95"/>
      <c r="AF40" s="93"/>
      <c r="AG40" s="93"/>
      <c r="AJ40" s="93"/>
      <c r="AK40" s="93"/>
      <c r="AL40" s="93"/>
      <c r="AM40" s="93"/>
    </row>
    <row r="41" spans="1:39" s="94" customFormat="1">
      <c r="A41" s="93"/>
      <c r="B41" s="93"/>
      <c r="C41" s="93"/>
      <c r="D41" s="93"/>
      <c r="E41" s="150">
        <f>COUNTIF(D38:F40,"nicht erfüllt")</f>
        <v>0</v>
      </c>
      <c r="F41" s="93"/>
      <c r="G41" s="93"/>
      <c r="H41" s="93"/>
      <c r="I41" s="93"/>
      <c r="J41" s="151"/>
      <c r="K41" s="151"/>
      <c r="L41" s="243"/>
      <c r="M41" s="93"/>
      <c r="N41" s="93"/>
      <c r="O41" s="93"/>
      <c r="P41" s="93"/>
      <c r="Q41" s="93"/>
      <c r="R41" s="242">
        <v>11</v>
      </c>
      <c r="S41" s="242">
        <f t="shared" si="20"/>
        <v>0</v>
      </c>
      <c r="T41" s="242">
        <f t="shared" si="23"/>
        <v>0</v>
      </c>
      <c r="U41" s="242">
        <f t="shared" si="21"/>
        <v>1</v>
      </c>
      <c r="AD41" s="95"/>
      <c r="AE41" s="95"/>
      <c r="AF41" s="93"/>
      <c r="AG41" s="93"/>
      <c r="AJ41" s="93"/>
      <c r="AK41" s="93"/>
      <c r="AL41" s="93"/>
      <c r="AM41" s="93"/>
    </row>
    <row r="42" spans="1:39" s="94" customFormat="1">
      <c r="A42" s="93"/>
      <c r="B42" s="93"/>
      <c r="C42" s="287" t="s">
        <v>160</v>
      </c>
      <c r="D42" s="287"/>
      <c r="E42" s="287"/>
      <c r="F42" s="287"/>
      <c r="G42" s="287"/>
      <c r="H42" s="287"/>
      <c r="I42" s="287"/>
      <c r="J42" s="287"/>
      <c r="K42" s="287"/>
      <c r="L42" s="287"/>
      <c r="M42" s="287"/>
      <c r="N42" s="287"/>
      <c r="O42" s="287"/>
      <c r="P42" s="93"/>
      <c r="Q42" s="93"/>
      <c r="R42" s="242">
        <v>12</v>
      </c>
      <c r="S42" s="242">
        <f t="shared" si="20"/>
        <v>0</v>
      </c>
      <c r="T42" s="242">
        <f t="shared" si="23"/>
        <v>0</v>
      </c>
      <c r="U42" s="242">
        <f t="shared" si="21"/>
        <v>0</v>
      </c>
      <c r="AD42" s="95"/>
      <c r="AE42" s="95"/>
      <c r="AF42" s="93"/>
      <c r="AG42" s="93"/>
      <c r="AJ42" s="93"/>
      <c r="AK42" s="93"/>
      <c r="AL42" s="93"/>
      <c r="AM42" s="93"/>
    </row>
    <row r="43" spans="1:39" s="94" customFormat="1">
      <c r="A43" s="93"/>
      <c r="B43" s="93"/>
      <c r="C43" s="93"/>
      <c r="D43" s="93"/>
      <c r="E43" s="93"/>
      <c r="F43" s="93"/>
      <c r="G43" s="93"/>
      <c r="H43" s="93"/>
      <c r="I43" s="93"/>
      <c r="J43" s="151"/>
      <c r="K43" s="151"/>
      <c r="L43" s="243"/>
      <c r="M43" s="93"/>
      <c r="N43" s="93"/>
      <c r="O43" s="93"/>
      <c r="P43" s="93"/>
      <c r="Q43" s="93"/>
      <c r="R43" s="242">
        <v>13</v>
      </c>
      <c r="S43" s="242">
        <f t="shared" si="20"/>
        <v>0</v>
      </c>
      <c r="T43" s="242">
        <f t="shared" si="23"/>
        <v>0</v>
      </c>
      <c r="U43" s="242">
        <f t="shared" si="21"/>
        <v>0</v>
      </c>
      <c r="AD43" s="95"/>
      <c r="AE43" s="95"/>
      <c r="AF43" s="93"/>
      <c r="AG43" s="93"/>
      <c r="AJ43" s="93"/>
      <c r="AK43" s="93"/>
      <c r="AL43" s="93"/>
      <c r="AM43" s="93"/>
    </row>
    <row r="44" spans="1:39" s="94" customFormat="1">
      <c r="A44" s="93"/>
      <c r="B44" s="93"/>
      <c r="C44" s="188" t="str">
        <f>'FOS 12'!C44</f>
        <v>Version 07.02.20</v>
      </c>
      <c r="D44" s="93"/>
      <c r="E44" s="93"/>
      <c r="F44" s="93"/>
      <c r="G44" s="93"/>
      <c r="H44" s="93"/>
      <c r="I44" s="93"/>
      <c r="J44" s="151"/>
      <c r="K44" s="151"/>
      <c r="L44" s="243"/>
      <c r="M44" s="93"/>
      <c r="N44" s="93"/>
      <c r="O44" s="93"/>
      <c r="P44" s="93"/>
      <c r="Q44" s="93"/>
      <c r="R44" s="242">
        <v>14</v>
      </c>
      <c r="S44" s="242">
        <f t="shared" si="20"/>
        <v>0</v>
      </c>
      <c r="T44" s="242">
        <f t="shared" si="23"/>
        <v>0</v>
      </c>
      <c r="U44" s="242">
        <f t="shared" si="21"/>
        <v>0</v>
      </c>
      <c r="AD44" s="95"/>
      <c r="AE44" s="95"/>
      <c r="AF44" s="93"/>
      <c r="AG44" s="93"/>
      <c r="AJ44" s="93"/>
      <c r="AK44" s="93"/>
      <c r="AL44" s="93"/>
      <c r="AM44" s="93"/>
    </row>
    <row r="45" spans="1:39" s="94" customFormat="1">
      <c r="A45" s="93"/>
      <c r="B45" s="93"/>
      <c r="C45" s="188" t="s">
        <v>163</v>
      </c>
      <c r="D45" s="93"/>
      <c r="E45" s="93"/>
      <c r="F45" s="93"/>
      <c r="G45" s="93"/>
      <c r="H45" s="93"/>
      <c r="I45" s="93"/>
      <c r="J45" s="151"/>
      <c r="K45" s="151"/>
      <c r="L45" s="243"/>
      <c r="M45" s="93"/>
      <c r="N45" s="93"/>
      <c r="O45" s="93"/>
      <c r="P45" s="93"/>
      <c r="Q45" s="93"/>
      <c r="R45" s="242">
        <v>15</v>
      </c>
      <c r="S45" s="242">
        <f t="shared" si="20"/>
        <v>0</v>
      </c>
      <c r="T45" s="242">
        <f t="shared" si="23"/>
        <v>0</v>
      </c>
      <c r="U45" s="242">
        <f t="shared" si="21"/>
        <v>0</v>
      </c>
      <c r="AD45" s="95"/>
      <c r="AE45" s="95"/>
      <c r="AF45" s="93"/>
      <c r="AG45" s="93"/>
      <c r="AJ45" s="93"/>
      <c r="AK45" s="93"/>
      <c r="AL45" s="93"/>
      <c r="AM45" s="93"/>
    </row>
    <row r="46" spans="1:39" s="94" customFormat="1">
      <c r="A46" s="93"/>
      <c r="B46" s="93"/>
      <c r="C46" s="93"/>
      <c r="D46" s="93"/>
      <c r="E46" s="93"/>
      <c r="F46" s="93"/>
      <c r="G46" s="93"/>
      <c r="H46" s="93"/>
      <c r="I46" s="93"/>
      <c r="J46" s="149"/>
      <c r="K46" s="149"/>
      <c r="L46" s="93"/>
      <c r="M46" s="93"/>
      <c r="N46" s="93"/>
      <c r="O46" s="93"/>
      <c r="P46" s="93"/>
      <c r="Q46" s="93"/>
      <c r="R46" s="242"/>
      <c r="S46" s="152">
        <f>SUM(S30:S45)</f>
        <v>14</v>
      </c>
      <c r="T46" s="152">
        <f>SUM(T30:T45)</f>
        <v>9</v>
      </c>
      <c r="U46" s="152">
        <f>SUM(U30:U45)</f>
        <v>4</v>
      </c>
      <c r="AD46" s="95"/>
      <c r="AE46" s="95"/>
      <c r="AF46" s="93"/>
      <c r="AG46" s="93"/>
      <c r="AJ46" s="93"/>
      <c r="AK46" s="93"/>
      <c r="AL46" s="93"/>
      <c r="AM46" s="93"/>
    </row>
  </sheetData>
  <sheetProtection algorithmName="SHA-512" hashValue="Bz2Y35JqT0CFcTK/Up3jW9DN413ZzfANjcnn12umsoKbeCAiBdcagQIkaX818P7+SeTpBrCaNQHWcsoh0WjCkg==" saltValue="sCxmEJqBQaxm+8RYAAQcHg==" spinCount="100000" sheet="1" formatRows="0" selectLockedCells="1"/>
  <mergeCells count="33">
    <mergeCell ref="C42:O42"/>
    <mergeCell ref="D35:F35"/>
    <mergeCell ref="J36:K36"/>
    <mergeCell ref="D37:F37"/>
    <mergeCell ref="D38:F38"/>
    <mergeCell ref="D39:F39"/>
    <mergeCell ref="D40:F40"/>
    <mergeCell ref="D34:E34"/>
    <mergeCell ref="AJ10:AK10"/>
    <mergeCell ref="AI12:AM12"/>
    <mergeCell ref="H25:K25"/>
    <mergeCell ref="D27:K27"/>
    <mergeCell ref="D28:K28"/>
    <mergeCell ref="D29:E29"/>
    <mergeCell ref="F29:G29"/>
    <mergeCell ref="D30:E30"/>
    <mergeCell ref="F30:G30"/>
    <mergeCell ref="D31:E31"/>
    <mergeCell ref="D32:E32"/>
    <mergeCell ref="D33:E33"/>
    <mergeCell ref="D4:F4"/>
    <mergeCell ref="H4:O4"/>
    <mergeCell ref="AJ4:AK4"/>
    <mergeCell ref="AJ9:AK9"/>
    <mergeCell ref="I2:O2"/>
    <mergeCell ref="AJ2:AK2"/>
    <mergeCell ref="J3:N3"/>
    <mergeCell ref="AJ3:AK3"/>
    <mergeCell ref="D5:K5"/>
    <mergeCell ref="AJ5:AK5"/>
    <mergeCell ref="AJ6:AK6"/>
    <mergeCell ref="AJ7:AL7"/>
    <mergeCell ref="AJ8:AM8"/>
  </mergeCells>
  <conditionalFormatting sqref="T2:T4">
    <cfRule type="cellIs" dxfId="202" priority="68" operator="greaterThan">
      <formula>1</formula>
    </cfRule>
  </conditionalFormatting>
  <conditionalFormatting sqref="H30">
    <cfRule type="cellIs" dxfId="201" priority="66" operator="notEqual">
      <formula>16</formula>
    </cfRule>
    <cfRule type="cellIs" dxfId="200" priority="67" operator="equal">
      <formula>16</formula>
    </cfRule>
  </conditionalFormatting>
  <conditionalFormatting sqref="D27">
    <cfRule type="expression" dxfId="199" priority="65">
      <formula>R5&gt;1</formula>
    </cfRule>
  </conditionalFormatting>
  <conditionalFormatting sqref="D35:F35">
    <cfRule type="containsText" dxfId="198" priority="63" operator="containsText" text="nicht bestanden">
      <formula>NOT(ISERROR(SEARCH("nicht bestanden",D35)))</formula>
    </cfRule>
    <cfRule type="containsText" dxfId="197" priority="64" operator="containsText" text="bestanden">
      <formula>NOT(ISERROR(SEARCH("bestanden",D35)))</formula>
    </cfRule>
  </conditionalFormatting>
  <conditionalFormatting sqref="D18">
    <cfRule type="expression" dxfId="196" priority="61">
      <formula>"G5=0"</formula>
    </cfRule>
    <cfRule type="expression" dxfId="195" priority="62">
      <formula>E18=1</formula>
    </cfRule>
  </conditionalFormatting>
  <conditionalFormatting sqref="F16">
    <cfRule type="expression" dxfId="194" priority="59">
      <formula>"G5=0"</formula>
    </cfRule>
    <cfRule type="expression" dxfId="193" priority="60">
      <formula>G16=1</formula>
    </cfRule>
  </conditionalFormatting>
  <conditionalFormatting sqref="H7">
    <cfRule type="expression" dxfId="192" priority="57">
      <formula>"&lt;&gt;istzahl(Z7)"</formula>
    </cfRule>
    <cfRule type="expression" dxfId="191" priority="58">
      <formula>ISNUMBER(Z7)</formula>
    </cfRule>
  </conditionalFormatting>
  <conditionalFormatting sqref="D11">
    <cfRule type="expression" dxfId="190" priority="55">
      <formula>"&lt;&gt;istzahl(Z7)"</formula>
    </cfRule>
    <cfRule type="expression" dxfId="189" priority="56">
      <formula>ISNUMBER(V11)</formula>
    </cfRule>
  </conditionalFormatting>
  <conditionalFormatting sqref="D17">
    <cfRule type="expression" dxfId="188" priority="53">
      <formula>"&lt;&gt;istzahl(Z7)"</formula>
    </cfRule>
    <cfRule type="expression" dxfId="187" priority="54">
      <formula>ISNUMBER(V17)</formula>
    </cfRule>
  </conditionalFormatting>
  <conditionalFormatting sqref="F8:F11">
    <cfRule type="expression" dxfId="186" priority="51">
      <formula>"&lt;&gt;istzahl(Z7)"</formula>
    </cfRule>
    <cfRule type="expression" dxfId="185" priority="52">
      <formula>ISNUMBER(X8)</formula>
    </cfRule>
  </conditionalFormatting>
  <conditionalFormatting sqref="F14:F15">
    <cfRule type="expression" dxfId="184" priority="49">
      <formula>"&lt;&gt;istzahl(Z7)"</formula>
    </cfRule>
    <cfRule type="expression" dxfId="183" priority="50">
      <formula>ISNUMBER(X14)</formula>
    </cfRule>
  </conditionalFormatting>
  <conditionalFormatting sqref="F17:F19">
    <cfRule type="expression" dxfId="182" priority="47">
      <formula>"&lt;&gt;istzahl(Z7)"</formula>
    </cfRule>
    <cfRule type="expression" dxfId="181" priority="48">
      <formula>ISNUMBER(X17)</formula>
    </cfRule>
  </conditionalFormatting>
  <conditionalFormatting sqref="H8:H10">
    <cfRule type="expression" dxfId="180" priority="45">
      <formula>"&lt;&gt;istzahl(Z7)"</formula>
    </cfRule>
    <cfRule type="expression" dxfId="179" priority="46">
      <formula>ISNUMBER(Z8)</formula>
    </cfRule>
  </conditionalFormatting>
  <conditionalFormatting sqref="H12:H13">
    <cfRule type="expression" dxfId="178" priority="43">
      <formula>"&lt;&gt;istzahl(Z7)"</formula>
    </cfRule>
    <cfRule type="expression" dxfId="177" priority="44">
      <formula>ISNUMBER(Z12)</formula>
    </cfRule>
  </conditionalFormatting>
  <conditionalFormatting sqref="H14:H16">
    <cfRule type="expression" dxfId="176" priority="41">
      <formula>"&lt;&gt;istzahl(Z7)"</formula>
    </cfRule>
    <cfRule type="expression" dxfId="175" priority="42">
      <formula>ISNUMBER(Z14)</formula>
    </cfRule>
  </conditionalFormatting>
  <conditionalFormatting sqref="H18:H24">
    <cfRule type="expression" dxfId="174" priority="39">
      <formula>"&lt;&gt;istzahl(Z7)"</formula>
    </cfRule>
    <cfRule type="expression" dxfId="173" priority="40">
      <formula>ISNUMBER(Z18)</formula>
    </cfRule>
  </conditionalFormatting>
  <conditionalFormatting sqref="J7">
    <cfRule type="expression" dxfId="172" priority="37">
      <formula>"&lt;&gt;istzahl(Z7)"</formula>
    </cfRule>
    <cfRule type="expression" dxfId="171" priority="38">
      <formula>ISNUMBER(AB7)</formula>
    </cfRule>
  </conditionalFormatting>
  <conditionalFormatting sqref="J8:J10">
    <cfRule type="expression" dxfId="170" priority="35">
      <formula>"&lt;&gt;istzahl(Z7)"</formula>
    </cfRule>
    <cfRule type="expression" dxfId="169" priority="36">
      <formula>ISNUMBER(AB8)</formula>
    </cfRule>
  </conditionalFormatting>
  <conditionalFormatting sqref="J12:J13">
    <cfRule type="expression" dxfId="168" priority="33">
      <formula>"&lt;&gt;istzahl(Z7)"</formula>
    </cfRule>
    <cfRule type="expression" dxfId="167" priority="34">
      <formula>ISNUMBER(AB12)</formula>
    </cfRule>
  </conditionalFormatting>
  <conditionalFormatting sqref="J14:J16">
    <cfRule type="expression" dxfId="166" priority="31">
      <formula>"&lt;&gt;istzahl(Z7)"</formula>
    </cfRule>
    <cfRule type="expression" dxfId="165" priority="32">
      <formula>ISNUMBER(AB14)</formula>
    </cfRule>
  </conditionalFormatting>
  <conditionalFormatting sqref="J18:J20 J22:J24">
    <cfRule type="expression" dxfId="164" priority="29">
      <formula>"&lt;&gt;istzahl(Z7)"</formula>
    </cfRule>
    <cfRule type="expression" dxfId="163" priority="30">
      <formula>ISNUMBER(AB18)</formula>
    </cfRule>
  </conditionalFormatting>
  <conditionalFormatting sqref="L8">
    <cfRule type="expression" dxfId="162" priority="28">
      <formula>ISNUMBER(L8)</formula>
    </cfRule>
  </conditionalFormatting>
  <conditionalFormatting sqref="L9:L10">
    <cfRule type="expression" dxfId="161" priority="27">
      <formula>ISNUMBER(L9)</formula>
    </cfRule>
  </conditionalFormatting>
  <conditionalFormatting sqref="M8:M10">
    <cfRule type="expression" dxfId="160" priority="26">
      <formula>ISNUMBER(M8)</formula>
    </cfRule>
  </conditionalFormatting>
  <conditionalFormatting sqref="L14">
    <cfRule type="expression" dxfId="159" priority="25">
      <formula>ISNUMBER(L14)</formula>
    </cfRule>
  </conditionalFormatting>
  <conditionalFormatting sqref="M14">
    <cfRule type="expression" dxfId="158" priority="24">
      <formula>ISNUMBER(M14)</formula>
    </cfRule>
  </conditionalFormatting>
  <conditionalFormatting sqref="D26">
    <cfRule type="expression" dxfId="157" priority="23">
      <formula>ISNUMBER(D26)</formula>
    </cfRule>
  </conditionalFormatting>
  <conditionalFormatting sqref="F26">
    <cfRule type="expression" dxfId="156" priority="22">
      <formula>ISNUMBER(F26)</formula>
    </cfRule>
  </conditionalFormatting>
  <conditionalFormatting sqref="H25:K25">
    <cfRule type="expression" dxfId="155" priority="21">
      <formula>ISNUMBER(H25)</formula>
    </cfRule>
  </conditionalFormatting>
  <conditionalFormatting sqref="H29">
    <cfRule type="expression" dxfId="154" priority="19">
      <formula>$H$29&lt;&gt;4</formula>
    </cfRule>
    <cfRule type="expression" dxfId="153" priority="20">
      <formula>$H$29=4</formula>
    </cfRule>
  </conditionalFormatting>
  <conditionalFormatting sqref="O22">
    <cfRule type="expression" dxfId="152" priority="18">
      <formula>$A$22=0</formula>
    </cfRule>
  </conditionalFormatting>
  <conditionalFormatting sqref="O23">
    <cfRule type="expression" dxfId="151" priority="17">
      <formula>$A$23=0</formula>
    </cfRule>
  </conditionalFormatting>
  <conditionalFormatting sqref="D28:K28">
    <cfRule type="containsText" dxfId="150" priority="16" operator="containsText" text="Zur Prüfung nicht zugelassen">
      <formula>NOT(ISERROR(SEARCH("Zur Prüfung nicht zugelassen",D28)))</formula>
    </cfRule>
  </conditionalFormatting>
  <conditionalFormatting sqref="AM2">
    <cfRule type="expression" dxfId="149" priority="14">
      <formula>$H$29&lt;&gt;4</formula>
    </cfRule>
    <cfRule type="expression" dxfId="148" priority="15">
      <formula>$H$29=4</formula>
    </cfRule>
  </conditionalFormatting>
  <conditionalFormatting sqref="AJ7:AL7">
    <cfRule type="containsText" dxfId="147" priority="12" operator="containsText" text="nicht bestanden">
      <formula>NOT(ISERROR(SEARCH("nicht bestanden",AJ7)))</formula>
    </cfRule>
    <cfRule type="containsText" dxfId="146" priority="13" operator="containsText" text="bestanden">
      <formula>NOT(ISERROR(SEARCH("bestanden",AJ7)))</formula>
    </cfRule>
  </conditionalFormatting>
  <conditionalFormatting sqref="J21">
    <cfRule type="expression" dxfId="145" priority="10">
      <formula>"&lt;&gt;istzahl(Z7)"</formula>
    </cfRule>
    <cfRule type="expression" dxfId="144" priority="11">
      <formula>ISNUMBER(AB21)</formula>
    </cfRule>
  </conditionalFormatting>
  <conditionalFormatting sqref="AM3">
    <cfRule type="cellIs" dxfId="143" priority="8" operator="notEqual">
      <formula>16</formula>
    </cfRule>
    <cfRule type="cellIs" dxfId="142" priority="9" operator="equal">
      <formula>16</formula>
    </cfRule>
  </conditionalFormatting>
  <conditionalFormatting sqref="C35">
    <cfRule type="containsText" dxfId="141" priority="3" operator="containsText" text="Abitur (allgemein)">
      <formula>NOT(ISERROR(SEARCH("Abitur (allgemein)",C35)))</formula>
    </cfRule>
  </conditionalFormatting>
  <conditionalFormatting sqref="AI7">
    <cfRule type="containsText" dxfId="140" priority="2" operator="containsText" text="Abitur (allgemein)">
      <formula>NOT(ISERROR(SEARCH("Abitur (allgemein)",AI7)))</formula>
    </cfRule>
  </conditionalFormatting>
  <conditionalFormatting sqref="M27">
    <cfRule type="cellIs" dxfId="139" priority="1" operator="greaterThan">
      <formula>3</formula>
    </cfRule>
  </conditionalFormatting>
  <dataValidations count="2">
    <dataValidation type="whole" allowBlank="1" showInputMessage="1" showErrorMessage="1" sqref="J7:J10 F26 L14:M14 D11 F14:F16 D18 H19:H25 F18:F20 D26 F8:F11 L8:M10 H7:H10 H12:H16 J12:J16 J19:J24" xr:uid="{00000000-0002-0000-0500-000000000000}">
      <formula1>0</formula1>
      <formula2>15</formula2>
    </dataValidation>
    <dataValidation type="whole" allowBlank="1" showInputMessage="1" showErrorMessage="1" sqref="K26" xr:uid="{00000000-0002-0000-0500-000001000000}">
      <formula1>0</formula1>
      <formula2>1</formula2>
    </dataValidation>
  </dataValidations>
  <pageMargins left="0.70866141732283472" right="0.70866141732283472" top="1.3779527559055118" bottom="0.78740157480314965" header="0.31496062992125984" footer="0.31496062992125984"/>
  <pageSetup paperSize="9" scale="96"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Hinweise!$C$6:$C$37</xm:f>
          </x14:formula1>
          <xm:sqref>C22:C23</xm:sqref>
        </x14:dataValidation>
        <x14:dataValidation type="list" allowBlank="1" showInputMessage="1" showErrorMessage="1" xr:uid="{00000000-0002-0000-0500-000003000000}">
          <x14:formula1>
            <xm:f>Hinweise!$C$5:$C$37</xm:f>
          </x14:formula1>
          <xm:sqref>C24</xm:sqref>
        </x14:dataValidation>
        <x14:dataValidation type="list" allowBlank="1" showInputMessage="1" showErrorMessage="1" xr:uid="{00000000-0002-0000-0500-000004000000}">
          <x14:formula1>
            <xm:f>Hinweise!$K$18:$K$19</xm:f>
          </x14:formula1>
          <xm:sqref>I7:I24 E7:E24 G7:G24 K7:K24</xm:sqref>
        </x14:dataValidation>
        <x14:dataValidation type="list" allowBlank="1" showInputMessage="1" showErrorMessage="1" xr:uid="{00000000-0002-0000-0500-000005000000}">
          <x14:formula1>
            <xm:f>Hinweise!$G$4:$G$10</xm:f>
          </x14:formula1>
          <xm:sqref>D4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pageSetUpPr fitToPage="1"/>
  </sheetPr>
  <dimension ref="A1:AM48"/>
  <sheetViews>
    <sheetView topLeftCell="B1" zoomScaleNormal="100" workbookViewId="0">
      <selection activeCell="D4" sqref="D4:F4"/>
    </sheetView>
  </sheetViews>
  <sheetFormatPr baseColWidth="10" defaultRowHeight="15.75"/>
  <cols>
    <col min="1" max="1" width="5.625" style="93" hidden="1" customWidth="1"/>
    <col min="2" max="2" width="3.5" style="93" customWidth="1"/>
    <col min="3" max="3" width="30.87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6" width="5.375" style="93" customWidth="1"/>
    <col min="17"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hidden="1" customWidth="1"/>
    <col min="35" max="35" width="30.5" style="94" customWidth="1"/>
    <col min="36" max="37" width="5.75" style="93" customWidth="1"/>
    <col min="38" max="38" width="7.75" style="93" customWidth="1"/>
    <col min="39" max="39" width="4.875" style="93" customWidth="1"/>
    <col min="40" max="16384" width="11" style="93"/>
  </cols>
  <sheetData>
    <row r="1" spans="1:39">
      <c r="AI1" s="232" t="str">
        <f>C31</f>
        <v>Punktezahl Prüfungen (2-fach)</v>
      </c>
      <c r="AJ1" s="320">
        <f>D31</f>
        <v>52</v>
      </c>
      <c r="AK1" s="320"/>
      <c r="AL1" s="233" t="s">
        <v>174</v>
      </c>
      <c r="AM1" s="234">
        <f>H31</f>
        <v>4</v>
      </c>
    </row>
    <row r="2" spans="1:39" ht="21">
      <c r="C2" s="239" t="s">
        <v>193</v>
      </c>
      <c r="D2" s="239"/>
      <c r="H2" s="93" t="s">
        <v>113</v>
      </c>
      <c r="I2" s="312" t="s">
        <v>179</v>
      </c>
      <c r="J2" s="312"/>
      <c r="K2" s="312"/>
      <c r="L2" s="312"/>
      <c r="M2" s="312"/>
      <c r="N2" s="312"/>
      <c r="O2" s="312"/>
      <c r="AI2" s="236" t="str">
        <f t="shared" ref="AI2:AI4" si="0">C32</f>
        <v>Punktezahl weiterer 16 HJE</v>
      </c>
      <c r="AJ2" s="289">
        <f>D32+D34</f>
        <v>64</v>
      </c>
      <c r="AK2" s="289"/>
      <c r="AL2" s="231" t="s">
        <v>157</v>
      </c>
      <c r="AM2" s="235">
        <f>H32</f>
        <v>18</v>
      </c>
    </row>
    <row r="3" spans="1:39" ht="15.75" customHeight="1">
      <c r="C3" s="96"/>
      <c r="D3" s="96"/>
      <c r="J3" s="302">
        <f ca="1">NOW()</f>
        <v>43949.388484374998</v>
      </c>
      <c r="K3" s="302"/>
      <c r="L3" s="302"/>
      <c r="M3" s="302"/>
      <c r="N3" s="302"/>
      <c r="AI3" s="236" t="str">
        <f t="shared" si="0"/>
        <v>Punktezahl Seminararbeit (2-fach)</v>
      </c>
      <c r="AJ3" s="289">
        <f>D33</f>
        <v>8</v>
      </c>
      <c r="AK3" s="289"/>
      <c r="AL3" s="291"/>
      <c r="AM3" s="321"/>
    </row>
    <row r="4" spans="1:39" ht="15.75" customHeight="1">
      <c r="C4" s="97" t="s">
        <v>161</v>
      </c>
      <c r="D4" s="303" t="s">
        <v>124</v>
      </c>
      <c r="E4" s="304"/>
      <c r="F4" s="305"/>
      <c r="G4" s="98"/>
      <c r="H4" s="306" t="s">
        <v>160</v>
      </c>
      <c r="I4" s="307"/>
      <c r="J4" s="307"/>
      <c r="K4" s="307"/>
      <c r="L4" s="307"/>
      <c r="M4" s="307"/>
      <c r="N4" s="307"/>
      <c r="O4" s="307"/>
      <c r="AI4" s="236" t="str">
        <f t="shared" si="0"/>
        <v>Zweite Fremdsprache:</v>
      </c>
      <c r="AJ4" s="289">
        <f>D34</f>
        <v>2</v>
      </c>
      <c r="AK4" s="289"/>
      <c r="AL4" s="291"/>
      <c r="AM4" s="321"/>
    </row>
    <row r="5" spans="1:39">
      <c r="D5" s="308" t="s">
        <v>164</v>
      </c>
      <c r="E5" s="308"/>
      <c r="F5" s="308"/>
      <c r="G5" s="308"/>
      <c r="H5" s="308"/>
      <c r="I5" s="308"/>
      <c r="J5" s="308"/>
      <c r="K5" s="308"/>
      <c r="R5" s="94">
        <f>MAX(R7:R24)</f>
        <v>1</v>
      </c>
      <c r="AE5" s="201">
        <f>SUM(AE7:AE25)</f>
        <v>0</v>
      </c>
      <c r="AF5" s="266">
        <f>COUNT(AF8:AF14)</f>
        <v>2</v>
      </c>
      <c r="AI5" s="212" t="s">
        <v>158</v>
      </c>
      <c r="AJ5" s="298">
        <f>D35</f>
        <v>124</v>
      </c>
      <c r="AK5" s="298"/>
      <c r="AL5" s="134" t="s">
        <v>195</v>
      </c>
      <c r="AM5" s="237"/>
    </row>
    <row r="6" spans="1:39">
      <c r="A6" s="93" t="s">
        <v>115</v>
      </c>
      <c r="C6" s="99"/>
      <c r="D6" s="153" t="s">
        <v>2</v>
      </c>
      <c r="E6" s="154"/>
      <c r="F6" s="153" t="s">
        <v>3</v>
      </c>
      <c r="G6" s="154"/>
      <c r="H6" s="100" t="s">
        <v>186</v>
      </c>
      <c r="I6" s="101" t="s">
        <v>136</v>
      </c>
      <c r="J6" s="100" t="s">
        <v>187</v>
      </c>
      <c r="K6" s="101" t="s">
        <v>136</v>
      </c>
      <c r="L6" s="100" t="s">
        <v>19</v>
      </c>
      <c r="M6" s="102" t="s">
        <v>20</v>
      </c>
      <c r="N6" s="103" t="s">
        <v>167</v>
      </c>
      <c r="O6" s="104" t="s">
        <v>153</v>
      </c>
      <c r="P6" s="105"/>
      <c r="Q6" s="106" t="s">
        <v>154</v>
      </c>
      <c r="R6" s="105" t="s">
        <v>148</v>
      </c>
      <c r="S6" s="105" t="s">
        <v>153</v>
      </c>
      <c r="T6" s="105"/>
      <c r="U6" s="94" t="s">
        <v>190</v>
      </c>
      <c r="V6" s="107" t="s">
        <v>2</v>
      </c>
      <c r="W6" s="108"/>
      <c r="X6" s="107" t="s">
        <v>3</v>
      </c>
      <c r="Y6" s="108"/>
      <c r="Z6" s="107" t="s">
        <v>186</v>
      </c>
      <c r="AA6" s="108"/>
      <c r="AB6" s="107" t="s">
        <v>187</v>
      </c>
      <c r="AC6" s="108"/>
      <c r="AD6" s="276" t="s">
        <v>147</v>
      </c>
      <c r="AE6" s="277" t="s">
        <v>178</v>
      </c>
      <c r="AF6" s="275" t="s">
        <v>197</v>
      </c>
      <c r="AI6" s="212" t="s">
        <v>23</v>
      </c>
      <c r="AJ6" s="322">
        <f>D36</f>
        <v>4.0999999999999996</v>
      </c>
      <c r="AK6" s="322"/>
      <c r="AL6" s="279">
        <f>17/3-5*AJ5/390</f>
        <v>4.0769230769230775</v>
      </c>
      <c r="AM6" s="281"/>
    </row>
    <row r="7" spans="1:39">
      <c r="A7" s="94">
        <v>1</v>
      </c>
      <c r="B7" s="94"/>
      <c r="C7" s="110" t="s">
        <v>4</v>
      </c>
      <c r="D7" s="60"/>
      <c r="E7" s="111"/>
      <c r="F7" s="61"/>
      <c r="G7" s="112"/>
      <c r="H7" s="39">
        <v>4</v>
      </c>
      <c r="I7" s="12"/>
      <c r="J7" s="13">
        <v>3</v>
      </c>
      <c r="K7" s="23"/>
      <c r="L7" s="21"/>
      <c r="M7" s="22"/>
      <c r="N7" s="45"/>
      <c r="O7" s="42">
        <f>IF(AND(ISERROR(S7),ISERROR(T7)),"",IF(ISNUMBER(S7),ROUND(S7,0),ROUND(T7,0)))</f>
        <v>4</v>
      </c>
      <c r="P7" s="1"/>
      <c r="Q7" s="1">
        <f t="shared" ref="Q7:Q25" si="1">IF(A7=1,O7,"")</f>
        <v>4</v>
      </c>
      <c r="R7" s="94">
        <f>COUNTIF(D7:K7,"x")</f>
        <v>0</v>
      </c>
      <c r="S7" s="93">
        <f>IF(AVERAGE(V7:AB7)&lt;1,0,AVERAGE(V7:AB7))</f>
        <v>3.5</v>
      </c>
      <c r="T7" s="94">
        <f>IF(AVERAGE(D7:J7)&lt;1,0,AVERAGE(D7:J7))</f>
        <v>3.5</v>
      </c>
      <c r="V7" s="249" t="str">
        <f t="shared" ref="V7:V23" si="2">IF(AND(ISNUMBER(D7),E7="",$A7=1),D7,"")</f>
        <v/>
      </c>
      <c r="W7" s="249"/>
      <c r="X7" s="249" t="str">
        <f t="shared" ref="X7:X23" si="3">IF(AND(ISNUMBER(F7),G7="",$A7=1),F7,"")</f>
        <v/>
      </c>
      <c r="Y7" s="249"/>
      <c r="Z7" s="249">
        <f t="shared" ref="Z7:Z23" si="4">IF(AND(ISNUMBER(H7),I7="",$A7=1),H7,"")</f>
        <v>4</v>
      </c>
      <c r="AA7" s="249"/>
      <c r="AB7" s="249">
        <f t="shared" ref="AB7:AB23" si="5">IF(AND(ISNUMBER(J7),K7="",$A7=1),J7,"")</f>
        <v>3</v>
      </c>
      <c r="AC7" s="249"/>
      <c r="AD7" s="199">
        <f>COUNT(V7:AB7)</f>
        <v>2</v>
      </c>
      <c r="AE7" s="199" t="str">
        <f>IF(Q7="","",IF(Q7&lt;4,IF(Q7=0,2,1),""))</f>
        <v/>
      </c>
      <c r="AF7" s="269"/>
      <c r="AI7" s="282" t="str">
        <f>C37</f>
        <v>Abitur (fachgebunden)</v>
      </c>
      <c r="AJ7" s="298" t="str">
        <f>D37</f>
        <v>bestanden</v>
      </c>
      <c r="AK7" s="298"/>
      <c r="AL7" s="298"/>
      <c r="AM7" s="281"/>
    </row>
    <row r="8" spans="1:39">
      <c r="A8" s="94">
        <v>1</v>
      </c>
      <c r="B8" s="94"/>
      <c r="C8" s="114" t="s">
        <v>5</v>
      </c>
      <c r="D8" s="4"/>
      <c r="E8" s="115"/>
      <c r="F8" s="155"/>
      <c r="G8" s="115"/>
      <c r="H8" s="33">
        <v>4</v>
      </c>
      <c r="I8" s="7" t="s">
        <v>136</v>
      </c>
      <c r="J8" s="8">
        <v>5</v>
      </c>
      <c r="K8" s="7"/>
      <c r="L8" s="9">
        <v>6</v>
      </c>
      <c r="M8" s="5"/>
      <c r="N8" s="116">
        <f>IF(ISBLANK(L8),"",IF(ISBLANK(M8),L8,IF((L8*2+M8)/3&lt;1,0,ROUND((L8*2+M8)/3,0))))</f>
        <v>6</v>
      </c>
      <c r="O8" s="43">
        <f>IF(ISBLANK(L8),"",IF(AND(ISERROR(S8),ISERROR(T8)),"",IF(ISNUMBER(S8),ROUND(S8,0),ROUND(T8,0))))</f>
        <v>6</v>
      </c>
      <c r="P8" s="1"/>
      <c r="Q8" s="1">
        <f t="shared" si="1"/>
        <v>6</v>
      </c>
      <c r="R8" s="94">
        <f t="shared" ref="R8:R23" si="6">COUNTIF(D8:K8,"x")</f>
        <v>1</v>
      </c>
      <c r="S8" s="117">
        <f>IF((2*N8+SUM(V8:AB8))/(AD8+2)&lt;1,0,(2*N8+SUM(V8:AB8))/(AD8+2))</f>
        <v>5.666666666666667</v>
      </c>
      <c r="T8" s="94">
        <f t="shared" ref="T8:T14" si="7">AVERAGE(D8:J8)</f>
        <v>4.5</v>
      </c>
      <c r="V8" s="249" t="str">
        <f t="shared" si="2"/>
        <v/>
      </c>
      <c r="W8" s="249"/>
      <c r="X8" s="249" t="str">
        <f t="shared" si="3"/>
        <v/>
      </c>
      <c r="Y8" s="249"/>
      <c r="Z8" s="249" t="str">
        <f t="shared" si="4"/>
        <v/>
      </c>
      <c r="AA8" s="249"/>
      <c r="AB8" s="249">
        <f t="shared" si="5"/>
        <v>5</v>
      </c>
      <c r="AC8" s="249"/>
      <c r="AD8" s="199">
        <f t="shared" ref="AD8:AD23" si="8">COUNT(V8:AB8)</f>
        <v>1</v>
      </c>
      <c r="AE8" s="199"/>
      <c r="AF8" s="269" t="str">
        <f>IF(M8="","",M8)</f>
        <v/>
      </c>
      <c r="AI8" s="283" t="s">
        <v>171</v>
      </c>
      <c r="AJ8" s="299"/>
      <c r="AK8" s="299"/>
      <c r="AL8" s="299"/>
      <c r="AM8" s="323"/>
    </row>
    <row r="9" spans="1:39">
      <c r="A9" s="94">
        <v>1</v>
      </c>
      <c r="B9" s="94"/>
      <c r="C9" s="114" t="s">
        <v>6</v>
      </c>
      <c r="D9" s="4"/>
      <c r="E9" s="115"/>
      <c r="F9" s="155"/>
      <c r="G9" s="115"/>
      <c r="H9" s="33">
        <v>4</v>
      </c>
      <c r="I9" s="7"/>
      <c r="J9" s="8">
        <v>4</v>
      </c>
      <c r="K9" s="7"/>
      <c r="L9" s="9">
        <v>5</v>
      </c>
      <c r="M9" s="5">
        <v>4</v>
      </c>
      <c r="N9" s="116">
        <f>IF(ISBLANK(L9),"",IF(ISBLANK(M9),L9,IF((L9*2+M9)/3&lt;1,0,ROUND((L9*2+M9)/3,0))))</f>
        <v>5</v>
      </c>
      <c r="O9" s="43">
        <f t="shared" ref="O9:O10" si="9">IF(ISBLANK(L9),"",IF(AND(ISERROR(S9),ISERROR(T9)),"",IF(ISNUMBER(S9),ROUND(S9,0),ROUND(T9,0))))</f>
        <v>5</v>
      </c>
      <c r="P9" s="1"/>
      <c r="Q9" s="1">
        <f t="shared" si="1"/>
        <v>5</v>
      </c>
      <c r="R9" s="94">
        <f t="shared" si="6"/>
        <v>0</v>
      </c>
      <c r="S9" s="117">
        <f t="shared" ref="S9:S10" si="10">IF((2*N9+SUM(V9:AB9))/(AD9+2)&lt;1,0,(2*N9+SUM(V9:AB9))/(AD9+2))</f>
        <v>4.5</v>
      </c>
      <c r="T9" s="94">
        <f t="shared" si="7"/>
        <v>4</v>
      </c>
      <c r="V9" s="249" t="str">
        <f t="shared" si="2"/>
        <v/>
      </c>
      <c r="W9" s="249"/>
      <c r="X9" s="249" t="str">
        <f t="shared" si="3"/>
        <v/>
      </c>
      <c r="Y9" s="249"/>
      <c r="Z9" s="249">
        <f t="shared" si="4"/>
        <v>4</v>
      </c>
      <c r="AA9" s="249"/>
      <c r="AB9" s="249">
        <f t="shared" si="5"/>
        <v>4</v>
      </c>
      <c r="AC9" s="249"/>
      <c r="AD9" s="199">
        <f t="shared" si="8"/>
        <v>2</v>
      </c>
      <c r="AE9" s="199"/>
      <c r="AF9" s="269">
        <f t="shared" ref="AF9:AF14" si="11">IF(M9="","",M9)</f>
        <v>4</v>
      </c>
      <c r="AI9" s="210" t="str">
        <f>C40</f>
        <v>Prüfungsergebnisse</v>
      </c>
      <c r="AJ9" s="289" t="str">
        <f>D40</f>
        <v>erfüllt</v>
      </c>
      <c r="AK9" s="289"/>
      <c r="AL9" s="160" t="s">
        <v>182</v>
      </c>
      <c r="AM9" s="230">
        <f>N39</f>
        <v>0</v>
      </c>
    </row>
    <row r="10" spans="1:39" ht="16.5" thickBot="1">
      <c r="A10" s="94">
        <v>1</v>
      </c>
      <c r="B10" s="94"/>
      <c r="C10" s="114" t="s">
        <v>9</v>
      </c>
      <c r="D10" s="4"/>
      <c r="E10" s="115"/>
      <c r="F10" s="155"/>
      <c r="G10" s="115"/>
      <c r="H10" s="33">
        <v>4</v>
      </c>
      <c r="I10" s="7"/>
      <c r="J10" s="8">
        <v>4</v>
      </c>
      <c r="K10" s="7"/>
      <c r="L10" s="9">
        <v>9</v>
      </c>
      <c r="M10" s="5"/>
      <c r="N10" s="116">
        <f>IF(ISBLANK(L10),"",IF(ISBLANK(M10),L10,IF((L10*2+M10)/3&lt;1,0,ROUND((L10*2+M10)/3,0))))</f>
        <v>9</v>
      </c>
      <c r="O10" s="43">
        <f t="shared" si="9"/>
        <v>7</v>
      </c>
      <c r="P10" s="1"/>
      <c r="Q10" s="1">
        <f t="shared" si="1"/>
        <v>7</v>
      </c>
      <c r="R10" s="94">
        <f t="shared" si="6"/>
        <v>0</v>
      </c>
      <c r="S10" s="117">
        <f t="shared" si="10"/>
        <v>6.5</v>
      </c>
      <c r="T10" s="94">
        <f t="shared" si="7"/>
        <v>4</v>
      </c>
      <c r="V10" s="249" t="str">
        <f t="shared" si="2"/>
        <v/>
      </c>
      <c r="W10" s="249"/>
      <c r="X10" s="249" t="str">
        <f t="shared" si="3"/>
        <v/>
      </c>
      <c r="Y10" s="249"/>
      <c r="Z10" s="249">
        <f t="shared" si="4"/>
        <v>4</v>
      </c>
      <c r="AA10" s="249"/>
      <c r="AB10" s="249">
        <f t="shared" si="5"/>
        <v>4</v>
      </c>
      <c r="AC10" s="249"/>
      <c r="AD10" s="199">
        <f t="shared" si="8"/>
        <v>2</v>
      </c>
      <c r="AE10" s="199"/>
      <c r="AF10" s="269" t="str">
        <f t="shared" si="11"/>
        <v/>
      </c>
      <c r="AI10" s="218" t="str">
        <f>C41</f>
        <v>Gesamtergebnisse</v>
      </c>
      <c r="AJ10" s="318" t="str">
        <f>D41</f>
        <v>erfüllt</v>
      </c>
      <c r="AK10" s="318"/>
      <c r="AL10" s="219" t="s">
        <v>182</v>
      </c>
      <c r="AM10" s="220">
        <f>M39</f>
        <v>0</v>
      </c>
    </row>
    <row r="11" spans="1:39" hidden="1">
      <c r="A11" s="156"/>
      <c r="B11" s="156"/>
      <c r="C11" s="157"/>
      <c r="D11" s="158"/>
      <c r="E11" s="115"/>
      <c r="F11" s="155"/>
      <c r="G11" s="115"/>
      <c r="H11" s="173"/>
      <c r="I11" s="7"/>
      <c r="J11" s="174"/>
      <c r="K11" s="7"/>
      <c r="L11" s="69"/>
      <c r="M11" s="70"/>
      <c r="N11" s="118"/>
      <c r="O11" s="71"/>
      <c r="P11" s="1"/>
      <c r="Q11" s="1"/>
      <c r="R11" s="156"/>
      <c r="S11" s="159"/>
      <c r="T11" s="156"/>
      <c r="U11" s="156"/>
      <c r="V11" s="160"/>
      <c r="W11" s="160"/>
      <c r="X11" s="160"/>
      <c r="Y11" s="160"/>
      <c r="Z11" s="160"/>
      <c r="AA11" s="160"/>
      <c r="AB11" s="160"/>
      <c r="AC11" s="160"/>
      <c r="AD11" s="278"/>
      <c r="AE11" s="199"/>
      <c r="AF11" s="269"/>
      <c r="AI11" s="204"/>
      <c r="AJ11" s="94"/>
      <c r="AK11" s="205"/>
      <c r="AL11" s="94"/>
    </row>
    <row r="12" spans="1:39">
      <c r="A12" s="94">
        <v>1</v>
      </c>
      <c r="B12" s="94"/>
      <c r="C12" s="119" t="s">
        <v>162</v>
      </c>
      <c r="D12" s="64"/>
      <c r="E12" s="120"/>
      <c r="F12" s="65"/>
      <c r="G12" s="120"/>
      <c r="H12" s="40">
        <v>4</v>
      </c>
      <c r="I12" s="16"/>
      <c r="J12" s="18">
        <v>3</v>
      </c>
      <c r="K12" s="16"/>
      <c r="L12" s="19"/>
      <c r="M12" s="20"/>
      <c r="N12" s="121"/>
      <c r="O12" s="44">
        <f t="shared" ref="O12:O23" si="12">IF(AND(ISERROR(S12),ISERROR(T12)),"",IF(ISNUMBER(S12),ROUND(S12,0),ROUND(T12,0)))</f>
        <v>4</v>
      </c>
      <c r="P12" s="1"/>
      <c r="Q12" s="1">
        <f t="shared" si="1"/>
        <v>4</v>
      </c>
      <c r="R12" s="94">
        <f t="shared" si="6"/>
        <v>0</v>
      </c>
      <c r="S12" s="93">
        <f>IF(AVERAGE(V12:AB12)&lt;1,0,AVERAGE(V12:AB12))</f>
        <v>3.5</v>
      </c>
      <c r="T12" s="94">
        <f>IF(AVERAGE(D12:J12)&lt;1,0,AVERAGE(D12:J12))</f>
        <v>3.5</v>
      </c>
      <c r="V12" s="249" t="str">
        <f t="shared" si="2"/>
        <v/>
      </c>
      <c r="W12" s="249"/>
      <c r="X12" s="249" t="str">
        <f t="shared" si="3"/>
        <v/>
      </c>
      <c r="Y12" s="249"/>
      <c r="Z12" s="249">
        <f t="shared" si="4"/>
        <v>4</v>
      </c>
      <c r="AA12" s="249"/>
      <c r="AB12" s="249">
        <f t="shared" si="5"/>
        <v>3</v>
      </c>
      <c r="AC12" s="249"/>
      <c r="AD12" s="199">
        <f t="shared" si="8"/>
        <v>2</v>
      </c>
      <c r="AE12" s="199" t="str">
        <f t="shared" ref="AE12:AE25" si="13">IF(Q12="","",IF(Q12&lt;4,IF(Q12=0,2,1),""))</f>
        <v/>
      </c>
      <c r="AF12" s="269"/>
      <c r="AI12" s="287" t="s">
        <v>160</v>
      </c>
      <c r="AJ12" s="287"/>
      <c r="AK12" s="287"/>
      <c r="AL12" s="287"/>
      <c r="AM12" s="287"/>
    </row>
    <row r="13" spans="1:39" s="159" customFormat="1" hidden="1">
      <c r="A13" s="156"/>
      <c r="B13" s="156"/>
      <c r="C13" s="162"/>
      <c r="D13" s="77"/>
      <c r="E13" s="163"/>
      <c r="F13" s="79"/>
      <c r="G13" s="163"/>
      <c r="H13" s="91"/>
      <c r="I13" s="90"/>
      <c r="J13" s="92"/>
      <c r="K13" s="90"/>
      <c r="L13" s="80"/>
      <c r="M13" s="81"/>
      <c r="N13" s="164"/>
      <c r="O13" s="83"/>
      <c r="P13" s="1"/>
      <c r="Q13" s="1"/>
      <c r="R13" s="156"/>
      <c r="T13" s="156"/>
      <c r="U13" s="156"/>
      <c r="V13" s="160"/>
      <c r="W13" s="160"/>
      <c r="X13" s="160"/>
      <c r="Y13" s="160"/>
      <c r="Z13" s="160"/>
      <c r="AA13" s="160"/>
      <c r="AB13" s="160"/>
      <c r="AC13" s="160"/>
      <c r="AD13" s="278"/>
      <c r="AE13" s="199"/>
      <c r="AF13" s="269"/>
      <c r="AH13" s="156"/>
      <c r="AI13" s="156"/>
    </row>
    <row r="14" spans="1:39">
      <c r="A14" s="94">
        <f>IF(C14="-",0,1)</f>
        <v>1</v>
      </c>
      <c r="B14" s="94"/>
      <c r="C14" s="122" t="str">
        <f>VLOOKUP($D$4,Hinweise!$G$23:$N$29,3,FALSE)</f>
        <v>Päd./Psy.</v>
      </c>
      <c r="D14" s="60"/>
      <c r="E14" s="111"/>
      <c r="F14" s="165"/>
      <c r="G14" s="111"/>
      <c r="H14" s="39">
        <v>4</v>
      </c>
      <c r="I14" s="12"/>
      <c r="J14" s="13">
        <v>4</v>
      </c>
      <c r="K14" s="12"/>
      <c r="L14" s="14">
        <v>8</v>
      </c>
      <c r="M14" s="15">
        <v>3</v>
      </c>
      <c r="N14" s="123">
        <f>IF(ISBLANK(L14),"",IF(ISBLANK(M14),L14,IF((L14*2+M14)/3&lt;1,0,ROUND((L14*2+M14)/3,0))))</f>
        <v>6</v>
      </c>
      <c r="O14" s="42">
        <f>IF(ISBLANK(L14),"",IF(AND(ISERROR(S14),ISERROR(T14)),"",IF(ISNUMBER(S14),ROUND(S14,0),ROUND(T14,0))))</f>
        <v>5</v>
      </c>
      <c r="P14" s="1"/>
      <c r="Q14" s="1">
        <f t="shared" si="1"/>
        <v>5</v>
      </c>
      <c r="R14" s="94">
        <f t="shared" si="6"/>
        <v>0</v>
      </c>
      <c r="S14" s="117">
        <f t="shared" ref="S14" si="14">IF((2*N14+SUM(V14:AB14))/(AD14+2)&lt;1,0,(2*N14+SUM(V14:AB14))/(AD14+2))</f>
        <v>5</v>
      </c>
      <c r="T14" s="94">
        <f t="shared" si="7"/>
        <v>4</v>
      </c>
      <c r="V14" s="249" t="str">
        <f t="shared" si="2"/>
        <v/>
      </c>
      <c r="W14" s="249"/>
      <c r="X14" s="249" t="str">
        <f t="shared" si="3"/>
        <v/>
      </c>
      <c r="Y14" s="249"/>
      <c r="Z14" s="249">
        <f t="shared" si="4"/>
        <v>4</v>
      </c>
      <c r="AA14" s="249"/>
      <c r="AB14" s="249">
        <f t="shared" si="5"/>
        <v>4</v>
      </c>
      <c r="AC14" s="249"/>
      <c r="AD14" s="199">
        <f t="shared" si="8"/>
        <v>2</v>
      </c>
      <c r="AE14" s="199"/>
      <c r="AF14" s="269">
        <f t="shared" si="11"/>
        <v>3</v>
      </c>
    </row>
    <row r="15" spans="1:39">
      <c r="A15" s="94">
        <f t="shared" ref="A15:A21" si="15">IF(C15="-",0,1)</f>
        <v>1</v>
      </c>
      <c r="B15" s="94"/>
      <c r="C15" s="122" t="str">
        <f>VLOOKUP($D$4,Hinweise!$G$23:$N$29,4,FALSE)</f>
        <v>Sozialwirtschaft und Recht</v>
      </c>
      <c r="D15" s="4"/>
      <c r="E15" s="115"/>
      <c r="F15" s="155"/>
      <c r="G15" s="115"/>
      <c r="H15" s="33">
        <v>3</v>
      </c>
      <c r="I15" s="7"/>
      <c r="J15" s="8">
        <v>4</v>
      </c>
      <c r="K15" s="7"/>
      <c r="L15" s="10"/>
      <c r="M15" s="6"/>
      <c r="N15" s="46"/>
      <c r="O15" s="43">
        <f t="shared" si="12"/>
        <v>4</v>
      </c>
      <c r="P15" s="1"/>
      <c r="Q15" s="1">
        <f t="shared" si="1"/>
        <v>4</v>
      </c>
      <c r="R15" s="94">
        <f t="shared" si="6"/>
        <v>0</v>
      </c>
      <c r="S15" s="93">
        <f>IF(AVERAGE(V15:AB15)&lt;1,0,AVERAGE(V15:AB15))</f>
        <v>3.5</v>
      </c>
      <c r="T15" s="94">
        <f>IF(AVERAGE(D15:J15)&lt;1,0,AVERAGE(D15:J15))</f>
        <v>3.5</v>
      </c>
      <c r="U15" s="94">
        <f>IF(AND((_xlfn.NUMBERVALUE(AB15)&gt;=4),(O15&gt;=4),(AD15=2),(C15="Franz./Span.")),1,0)</f>
        <v>0</v>
      </c>
      <c r="V15" s="249" t="str">
        <f t="shared" si="2"/>
        <v/>
      </c>
      <c r="W15" s="249"/>
      <c r="X15" s="249" t="str">
        <f t="shared" si="3"/>
        <v/>
      </c>
      <c r="Y15" s="249"/>
      <c r="Z15" s="249">
        <f t="shared" si="4"/>
        <v>3</v>
      </c>
      <c r="AA15" s="249"/>
      <c r="AB15" s="249">
        <f t="shared" si="5"/>
        <v>4</v>
      </c>
      <c r="AC15" s="249"/>
      <c r="AD15" s="199">
        <f t="shared" si="8"/>
        <v>2</v>
      </c>
      <c r="AE15" s="199" t="str">
        <f t="shared" si="13"/>
        <v/>
      </c>
    </row>
    <row r="16" spans="1:39" hidden="1">
      <c r="A16" s="94"/>
      <c r="B16" s="94"/>
      <c r="C16" s="124"/>
      <c r="D16" s="4"/>
      <c r="E16" s="115"/>
      <c r="F16" s="125"/>
      <c r="G16" s="115"/>
      <c r="H16" s="63"/>
      <c r="I16" s="7"/>
      <c r="J16" s="62"/>
      <c r="K16" s="7"/>
      <c r="L16" s="10"/>
      <c r="M16" s="6"/>
      <c r="N16" s="46"/>
      <c r="O16" s="43"/>
      <c r="P16" s="1"/>
      <c r="Q16" s="1"/>
      <c r="S16" s="93"/>
      <c r="V16" s="249"/>
      <c r="W16" s="249"/>
      <c r="X16" s="249"/>
      <c r="Y16" s="249"/>
      <c r="Z16" s="249"/>
      <c r="AA16" s="249"/>
      <c r="AB16" s="249"/>
      <c r="AC16" s="249"/>
      <c r="AD16" s="199"/>
      <c r="AE16" s="199" t="str">
        <f t="shared" si="13"/>
        <v/>
      </c>
    </row>
    <row r="17" spans="1:39" hidden="1">
      <c r="A17" s="94"/>
      <c r="B17" s="94"/>
      <c r="C17" s="124"/>
      <c r="D17" s="158"/>
      <c r="E17" s="115"/>
      <c r="F17" s="155"/>
      <c r="G17" s="115"/>
      <c r="H17" s="173"/>
      <c r="I17" s="7"/>
      <c r="J17" s="174"/>
      <c r="K17" s="7"/>
      <c r="L17" s="10"/>
      <c r="M17" s="6"/>
      <c r="N17" s="46"/>
      <c r="O17" s="43"/>
      <c r="P17" s="1"/>
      <c r="Q17" s="1"/>
      <c r="S17" s="93"/>
      <c r="V17" s="249"/>
      <c r="W17" s="249"/>
      <c r="X17" s="249"/>
      <c r="Y17" s="249"/>
      <c r="Z17" s="249"/>
      <c r="AA17" s="249"/>
      <c r="AB17" s="249"/>
      <c r="AC17" s="249"/>
      <c r="AD17" s="199"/>
      <c r="AE17" s="199" t="str">
        <f t="shared" si="13"/>
        <v/>
      </c>
    </row>
    <row r="18" spans="1:39" hidden="1">
      <c r="A18" s="94"/>
      <c r="B18" s="94"/>
      <c r="C18" s="124"/>
      <c r="D18" s="126"/>
      <c r="E18" s="115"/>
      <c r="F18" s="155"/>
      <c r="G18" s="115"/>
      <c r="H18" s="63"/>
      <c r="I18" s="7"/>
      <c r="J18" s="62"/>
      <c r="K18" s="7"/>
      <c r="L18" s="10"/>
      <c r="M18" s="6"/>
      <c r="N18" s="46"/>
      <c r="O18" s="43"/>
      <c r="P18" s="1"/>
      <c r="Q18" s="1"/>
      <c r="S18" s="93"/>
      <c r="V18" s="249"/>
      <c r="W18" s="249"/>
      <c r="X18" s="249"/>
      <c r="Y18" s="249"/>
      <c r="Z18" s="249"/>
      <c r="AA18" s="249"/>
      <c r="AB18" s="249"/>
      <c r="AC18" s="249"/>
      <c r="AD18" s="199"/>
      <c r="AE18" s="199" t="str">
        <f t="shared" si="13"/>
        <v/>
      </c>
    </row>
    <row r="19" spans="1:39" hidden="1">
      <c r="A19" s="94"/>
      <c r="B19" s="94"/>
      <c r="C19" s="124"/>
      <c r="D19" s="4"/>
      <c r="E19" s="115"/>
      <c r="F19" s="155"/>
      <c r="G19" s="115"/>
      <c r="H19" s="63"/>
      <c r="I19" s="7"/>
      <c r="J19" s="62"/>
      <c r="K19" s="7"/>
      <c r="L19" s="10"/>
      <c r="M19" s="6"/>
      <c r="N19" s="46"/>
      <c r="O19" s="43"/>
      <c r="P19" s="1"/>
      <c r="Q19" s="1"/>
      <c r="S19" s="93"/>
      <c r="V19" s="249"/>
      <c r="W19" s="249"/>
      <c r="X19" s="249"/>
      <c r="Y19" s="249"/>
      <c r="Z19" s="249"/>
      <c r="AA19" s="249"/>
      <c r="AB19" s="249"/>
      <c r="AC19" s="249"/>
      <c r="AD19" s="199"/>
      <c r="AE19" s="199" t="str">
        <f t="shared" si="13"/>
        <v/>
      </c>
    </row>
    <row r="20" spans="1:39">
      <c r="A20" s="94">
        <f t="shared" si="15"/>
        <v>1</v>
      </c>
      <c r="B20" s="94"/>
      <c r="C20" s="122" t="str">
        <f>VLOOKUP($D$4,Hinweise!$G$23:$N$29,5,FALSE)</f>
        <v>Biologie</v>
      </c>
      <c r="D20" s="4"/>
      <c r="E20" s="115"/>
      <c r="F20" s="3"/>
      <c r="G20" s="115"/>
      <c r="H20" s="33">
        <v>1</v>
      </c>
      <c r="I20" s="7" t="s">
        <v>136</v>
      </c>
      <c r="J20" s="8">
        <v>4</v>
      </c>
      <c r="K20" s="7"/>
      <c r="L20" s="10"/>
      <c r="M20" s="6"/>
      <c r="N20" s="46"/>
      <c r="O20" s="43">
        <f t="shared" si="12"/>
        <v>4</v>
      </c>
      <c r="P20" s="1"/>
      <c r="Q20" s="1">
        <f t="shared" si="1"/>
        <v>4</v>
      </c>
      <c r="R20" s="94">
        <f t="shared" si="6"/>
        <v>1</v>
      </c>
      <c r="S20" s="93">
        <f>IF(AVERAGE(V20:AB20)&lt;1,0,AVERAGE(V20:AB20))</f>
        <v>4</v>
      </c>
      <c r="T20" s="94">
        <f>IF(AVERAGE(D20:J20)&lt;1,0,AVERAGE(D20:J20))</f>
        <v>2.5</v>
      </c>
      <c r="V20" s="249" t="str">
        <f t="shared" si="2"/>
        <v/>
      </c>
      <c r="W20" s="249"/>
      <c r="X20" s="249" t="str">
        <f t="shared" si="3"/>
        <v/>
      </c>
      <c r="Y20" s="249"/>
      <c r="Z20" s="249" t="str">
        <f t="shared" si="4"/>
        <v/>
      </c>
      <c r="AA20" s="249"/>
      <c r="AB20" s="249">
        <f t="shared" si="5"/>
        <v>4</v>
      </c>
      <c r="AC20" s="249"/>
      <c r="AD20" s="199">
        <f t="shared" si="8"/>
        <v>1</v>
      </c>
      <c r="AE20" s="199" t="str">
        <f t="shared" si="13"/>
        <v/>
      </c>
    </row>
    <row r="21" spans="1:39" hidden="1">
      <c r="A21" s="94">
        <f t="shared" si="15"/>
        <v>1</v>
      </c>
      <c r="B21" s="94"/>
      <c r="C21" s="122"/>
      <c r="D21" s="66"/>
      <c r="E21" s="128"/>
      <c r="F21" s="67"/>
      <c r="G21" s="128"/>
      <c r="H21" s="63"/>
      <c r="I21" s="49"/>
      <c r="J21" s="63"/>
      <c r="K21" s="49"/>
      <c r="L21" s="52"/>
      <c r="M21" s="53"/>
      <c r="N21" s="54"/>
      <c r="O21" s="55"/>
      <c r="P21" s="1"/>
      <c r="Q21" s="1"/>
      <c r="S21" s="93"/>
      <c r="V21" s="249"/>
      <c r="W21" s="249"/>
      <c r="X21" s="249"/>
      <c r="Y21" s="249"/>
      <c r="Z21" s="249"/>
      <c r="AA21" s="249"/>
      <c r="AB21" s="249"/>
      <c r="AC21" s="249"/>
      <c r="AD21" s="199"/>
      <c r="AE21" s="199" t="str">
        <f t="shared" si="13"/>
        <v/>
      </c>
    </row>
    <row r="22" spans="1:39">
      <c r="A22" s="94">
        <f>IF(OR(C22="-",VLOOKUP(C22,Hinweise!$C$6:$D$37,2,FALSE)=0),0,1)</f>
        <v>1</v>
      </c>
      <c r="B22" s="94"/>
      <c r="C22" s="37" t="s">
        <v>44</v>
      </c>
      <c r="D22" s="68"/>
      <c r="E22" s="112"/>
      <c r="F22" s="61"/>
      <c r="G22" s="112"/>
      <c r="H22" s="41">
        <v>4</v>
      </c>
      <c r="I22" s="23"/>
      <c r="J22" s="25">
        <v>4</v>
      </c>
      <c r="K22" s="23"/>
      <c r="L22" s="26"/>
      <c r="M22" s="27"/>
      <c r="N22" s="45"/>
      <c r="O22" s="56">
        <f t="shared" si="12"/>
        <v>4</v>
      </c>
      <c r="P22" s="1"/>
      <c r="Q22" s="1">
        <f t="shared" si="1"/>
        <v>4</v>
      </c>
      <c r="R22" s="94">
        <f t="shared" si="6"/>
        <v>0</v>
      </c>
      <c r="S22" s="93">
        <f t="shared" ref="S22:S23" si="16">IF(AVERAGE(V22:AB22)&lt;1,0,AVERAGE(V22:AB22))</f>
        <v>4</v>
      </c>
      <c r="T22" s="94">
        <f t="shared" ref="T22:T23" si="17">IF(AVERAGE(D22:J22)&lt;1,0,AVERAGE(D22:J22))</f>
        <v>4</v>
      </c>
      <c r="U22" s="94">
        <f>IF(AND((_xlfn.NUMBERVALUE(AB22)&gt;=4),(O22&gt;=4),(AD22=2),(OR(C22="Spanisch (fortgeführt)",C22="Französisch (fortgeführt)"))),1,0)</f>
        <v>0</v>
      </c>
      <c r="V22" s="249" t="str">
        <f t="shared" si="2"/>
        <v/>
      </c>
      <c r="W22" s="249"/>
      <c r="X22" s="249" t="str">
        <f t="shared" si="3"/>
        <v/>
      </c>
      <c r="Y22" s="249"/>
      <c r="Z22" s="249">
        <f t="shared" si="4"/>
        <v>4</v>
      </c>
      <c r="AA22" s="249"/>
      <c r="AB22" s="249">
        <f t="shared" si="5"/>
        <v>4</v>
      </c>
      <c r="AC22" s="249"/>
      <c r="AD22" s="199">
        <f t="shared" si="8"/>
        <v>2</v>
      </c>
      <c r="AE22" s="199" t="str">
        <f t="shared" si="13"/>
        <v/>
      </c>
    </row>
    <row r="23" spans="1:39">
      <c r="A23" s="94">
        <f>IF(OR(C23="-",VLOOKUP(C23,Hinweise!$C$6:$D$37,2,FALSE)=0),0,1)</f>
        <v>0</v>
      </c>
      <c r="B23" s="94"/>
      <c r="C23" s="38" t="s">
        <v>129</v>
      </c>
      <c r="D23" s="4"/>
      <c r="E23" s="115"/>
      <c r="F23" s="3"/>
      <c r="G23" s="115"/>
      <c r="H23" s="33"/>
      <c r="I23" s="7"/>
      <c r="J23" s="8"/>
      <c r="K23" s="7"/>
      <c r="L23" s="10"/>
      <c r="M23" s="6"/>
      <c r="N23" s="46"/>
      <c r="O23" s="43" t="str">
        <f t="shared" si="12"/>
        <v/>
      </c>
      <c r="P23" s="1"/>
      <c r="Q23" s="1" t="str">
        <f t="shared" si="1"/>
        <v/>
      </c>
      <c r="R23" s="94">
        <f t="shared" si="6"/>
        <v>0</v>
      </c>
      <c r="S23" s="93" t="e">
        <f t="shared" si="16"/>
        <v>#DIV/0!</v>
      </c>
      <c r="T23" s="94" t="e">
        <f t="shared" si="17"/>
        <v>#DIV/0!</v>
      </c>
      <c r="V23" s="249" t="str">
        <f t="shared" si="2"/>
        <v/>
      </c>
      <c r="W23" s="249"/>
      <c r="X23" s="249" t="str">
        <f t="shared" si="3"/>
        <v/>
      </c>
      <c r="Y23" s="249"/>
      <c r="Z23" s="249" t="str">
        <f t="shared" si="4"/>
        <v/>
      </c>
      <c r="AA23" s="249"/>
      <c r="AB23" s="249" t="str">
        <f t="shared" si="5"/>
        <v/>
      </c>
      <c r="AC23" s="249"/>
      <c r="AD23" s="199">
        <f t="shared" si="8"/>
        <v>0</v>
      </c>
      <c r="AE23" s="199" t="str">
        <f t="shared" si="13"/>
        <v/>
      </c>
    </row>
    <row r="24" spans="1:39" hidden="1">
      <c r="A24" s="156"/>
      <c r="B24" s="156"/>
      <c r="C24" s="166"/>
      <c r="D24" s="66"/>
      <c r="E24" s="128"/>
      <c r="F24" s="67"/>
      <c r="G24" s="128"/>
      <c r="H24" s="167"/>
      <c r="I24" s="128"/>
      <c r="J24" s="168"/>
      <c r="K24" s="169"/>
      <c r="L24" s="72"/>
      <c r="M24" s="73"/>
      <c r="N24" s="74"/>
      <c r="O24" s="75"/>
      <c r="P24" s="1"/>
      <c r="Q24" s="1"/>
      <c r="R24" s="156"/>
      <c r="S24" s="159"/>
      <c r="T24" s="156"/>
      <c r="U24" s="156"/>
      <c r="V24" s="160"/>
      <c r="W24" s="160"/>
      <c r="X24" s="160"/>
      <c r="Y24" s="160"/>
      <c r="Z24" s="160"/>
      <c r="AA24" s="160"/>
      <c r="AB24" s="160"/>
      <c r="AC24" s="160"/>
      <c r="AD24" s="161"/>
      <c r="AE24" s="113" t="str">
        <f t="shared" si="13"/>
        <v/>
      </c>
      <c r="AF24" s="159"/>
      <c r="AG24" s="159"/>
    </row>
    <row r="25" spans="1:39">
      <c r="A25" s="94">
        <v>1</v>
      </c>
      <c r="B25" s="94"/>
      <c r="C25" s="110" t="s">
        <v>184</v>
      </c>
      <c r="D25" s="84"/>
      <c r="E25" s="85"/>
      <c r="F25" s="84"/>
      <c r="G25" s="85"/>
      <c r="H25" s="319">
        <v>4</v>
      </c>
      <c r="I25" s="319"/>
      <c r="J25" s="319"/>
      <c r="K25" s="319"/>
      <c r="L25" s="86"/>
      <c r="M25" s="87"/>
      <c r="N25" s="88"/>
      <c r="O25" s="89">
        <f>IF(H25="","",H25)</f>
        <v>4</v>
      </c>
      <c r="P25" s="1"/>
      <c r="Q25" s="1">
        <f t="shared" si="1"/>
        <v>4</v>
      </c>
      <c r="S25" s="93"/>
      <c r="T25" s="94" t="str">
        <f t="shared" ref="T25" si="18">IF(A25=0,AVERAGE(D25:J25),"")</f>
        <v/>
      </c>
      <c r="V25" s="1"/>
      <c r="W25" s="1"/>
      <c r="X25" s="1"/>
      <c r="Y25" s="1"/>
      <c r="Z25" s="1"/>
      <c r="AA25" s="1"/>
      <c r="AB25" s="1"/>
      <c r="AC25" s="1"/>
      <c r="AD25" s="129">
        <f>SUM(AD7:AD24)</f>
        <v>16</v>
      </c>
      <c r="AE25" s="113" t="str">
        <f t="shared" si="13"/>
        <v/>
      </c>
    </row>
    <row r="26" spans="1:39" hidden="1">
      <c r="A26" s="156"/>
      <c r="B26" s="156"/>
      <c r="C26" s="170"/>
      <c r="D26" s="77"/>
      <c r="E26" s="76"/>
      <c r="F26" s="79"/>
      <c r="G26" s="76"/>
      <c r="H26" s="77"/>
      <c r="I26" s="78"/>
      <c r="J26" s="79"/>
      <c r="K26" s="78"/>
      <c r="L26" s="80"/>
      <c r="M26" s="81"/>
      <c r="N26" s="82"/>
      <c r="O26" s="83"/>
      <c r="P26" s="1"/>
      <c r="Q26" s="1"/>
      <c r="R26" s="156"/>
      <c r="S26" s="159"/>
      <c r="T26" s="156"/>
      <c r="U26" s="156"/>
      <c r="V26" s="1"/>
      <c r="W26" s="1"/>
      <c r="X26" s="1"/>
      <c r="Y26" s="1"/>
      <c r="Z26" s="1"/>
      <c r="AA26" s="1"/>
      <c r="AB26" s="1"/>
      <c r="AC26" s="1"/>
      <c r="AD26" s="171"/>
      <c r="AE26" s="171"/>
      <c r="AF26" s="159"/>
    </row>
    <row r="27" spans="1:39">
      <c r="C27" s="132" t="s">
        <v>159</v>
      </c>
      <c r="D27" s="310" t="s">
        <v>25</v>
      </c>
      <c r="E27" s="310"/>
      <c r="F27" s="310"/>
      <c r="G27" s="310"/>
      <c r="H27" s="310"/>
      <c r="I27" s="310"/>
      <c r="J27" s="310"/>
      <c r="K27" s="310"/>
      <c r="M27" s="274">
        <f>AF5</f>
        <v>2</v>
      </c>
    </row>
    <row r="28" spans="1:39">
      <c r="D28" s="311" t="str">
        <f>IF(OR(AE5&gt;2,H25=0),"Zur Prüfung nicht zugelassen","")</f>
        <v/>
      </c>
      <c r="E28" s="311"/>
      <c r="F28" s="311"/>
      <c r="G28" s="311"/>
      <c r="H28" s="311"/>
      <c r="I28" s="311"/>
      <c r="J28" s="311"/>
      <c r="K28" s="311"/>
    </row>
    <row r="29" spans="1:39">
      <c r="A29" s="94">
        <v>1</v>
      </c>
      <c r="C29" s="263" t="s">
        <v>191</v>
      </c>
      <c r="D29" s="258">
        <v>1</v>
      </c>
      <c r="E29" s="259"/>
      <c r="F29" s="258">
        <v>1</v>
      </c>
      <c r="G29" s="259"/>
      <c r="H29" s="260"/>
      <c r="I29" s="260"/>
      <c r="J29" s="260"/>
      <c r="K29" s="260"/>
      <c r="L29" s="135"/>
      <c r="M29" s="135"/>
      <c r="N29" s="135"/>
      <c r="O29" s="215">
        <f t="shared" ref="O29" si="19">IF(AND(ISERROR(S29),ISERROR(T29)),"",IF(ISNUMBER(S29),ROUND(S29,0),ROUND(T29,0)))</f>
        <v>1</v>
      </c>
      <c r="Q29" s="1">
        <f t="shared" ref="Q29" si="20">IF(A29=1,O29,"")</f>
        <v>1</v>
      </c>
      <c r="R29" s="94">
        <f t="shared" ref="R29" si="21">COUNTIF(D29:K29,"x")</f>
        <v>0</v>
      </c>
      <c r="S29" s="93">
        <f t="shared" ref="S29" si="22">IF(AVERAGE(V29:AB29)&lt;1,0,AVERAGE(V29:AB29))</f>
        <v>1</v>
      </c>
      <c r="T29" s="94">
        <f t="shared" ref="T29" si="23">IF(AVERAGE(D29:J29)&lt;1,0,AVERAGE(D29:J29))</f>
        <v>1</v>
      </c>
      <c r="U29" s="94">
        <f>IF(AND((_xlfn.NUMBERVALUE(X29)&gt;=4),(AD29=2),(O29&gt;=4)),1,0)</f>
        <v>0</v>
      </c>
      <c r="V29" s="249">
        <f t="shared" ref="V29" si="24">IF(AND(ISNUMBER(D29),E29="",$A29=1),D29,"")</f>
        <v>1</v>
      </c>
      <c r="W29" s="249"/>
      <c r="X29" s="249">
        <f t="shared" ref="X29" si="25">IF(AND(ISNUMBER(F29),G29="",$A29=1),F29,"")</f>
        <v>1</v>
      </c>
      <c r="Y29" s="249"/>
      <c r="Z29" s="249"/>
      <c r="AA29" s="249"/>
      <c r="AB29" s="249"/>
      <c r="AC29" s="249"/>
      <c r="AD29" s="113">
        <f t="shared" ref="AD29" si="26">COUNT(V29:AB29)</f>
        <v>2</v>
      </c>
    </row>
    <row r="30" spans="1:39">
      <c r="D30" s="246"/>
      <c r="E30" s="246"/>
      <c r="F30" s="246"/>
      <c r="G30" s="246"/>
      <c r="H30" s="246"/>
      <c r="I30" s="246"/>
      <c r="J30" s="246"/>
      <c r="K30" s="246"/>
    </row>
    <row r="31" spans="1:39" s="94" customFormat="1">
      <c r="A31" s="93"/>
      <c r="B31" s="93"/>
      <c r="C31" s="133" t="s">
        <v>188</v>
      </c>
      <c r="D31" s="291">
        <f>2*SUM(N8:N14)</f>
        <v>52</v>
      </c>
      <c r="E31" s="292"/>
      <c r="F31" s="291" t="s">
        <v>174</v>
      </c>
      <c r="G31" s="292"/>
      <c r="H31" s="196">
        <f>U48</f>
        <v>4</v>
      </c>
      <c r="I31" s="93"/>
      <c r="J31" s="192"/>
      <c r="K31" s="193"/>
      <c r="L31" s="223" t="s">
        <v>166</v>
      </c>
      <c r="M31" s="223" t="s">
        <v>153</v>
      </c>
      <c r="N31" s="224" t="s">
        <v>167</v>
      </c>
      <c r="O31" s="93"/>
      <c r="P31" s="93"/>
      <c r="Q31" s="93"/>
      <c r="R31" s="108" t="s">
        <v>24</v>
      </c>
      <c r="S31" s="108" t="s">
        <v>168</v>
      </c>
      <c r="T31" s="108" t="s">
        <v>169</v>
      </c>
      <c r="U31" s="108" t="s">
        <v>170</v>
      </c>
      <c r="AD31" s="95"/>
      <c r="AE31" s="95"/>
      <c r="AF31" s="93"/>
      <c r="AG31" s="93"/>
      <c r="AJ31" s="93"/>
      <c r="AK31" s="93"/>
      <c r="AL31" s="93"/>
      <c r="AM31" s="93"/>
    </row>
    <row r="32" spans="1:39" s="94" customFormat="1">
      <c r="A32" s="93"/>
      <c r="B32" s="93"/>
      <c r="C32" s="99" t="s">
        <v>185</v>
      </c>
      <c r="D32" s="291">
        <f>SUM(V7:AC24)</f>
        <v>62</v>
      </c>
      <c r="E32" s="292"/>
      <c r="F32" s="291" t="s">
        <v>157</v>
      </c>
      <c r="G32" s="292"/>
      <c r="H32" s="248">
        <f>S48</f>
        <v>18</v>
      </c>
      <c r="I32" s="93"/>
      <c r="J32" s="137" t="s">
        <v>104</v>
      </c>
      <c r="K32" s="138"/>
      <c r="L32" s="139">
        <f>S32</f>
        <v>0</v>
      </c>
      <c r="M32" s="139">
        <f>T32</f>
        <v>0</v>
      </c>
      <c r="N32" s="140">
        <f>U32</f>
        <v>0</v>
      </c>
      <c r="O32" s="93"/>
      <c r="P32" s="93"/>
      <c r="Q32" s="93"/>
      <c r="R32" s="249">
        <v>0</v>
      </c>
      <c r="S32" s="249">
        <f>COUNTIF($V$7:$AC$29,R32)</f>
        <v>0</v>
      </c>
      <c r="T32" s="249">
        <f>COUNTIF($Q$7:$Q$26,R32)</f>
        <v>0</v>
      </c>
      <c r="U32" s="249">
        <f t="shared" ref="U32:U47" si="27">COUNTIF($N$8:$N$14,R32)</f>
        <v>0</v>
      </c>
      <c r="AD32" s="95"/>
      <c r="AE32" s="95"/>
      <c r="AF32" s="93"/>
      <c r="AG32" s="93"/>
      <c r="AJ32" s="93"/>
      <c r="AK32" s="93"/>
      <c r="AL32" s="93"/>
      <c r="AM32" s="93"/>
    </row>
    <row r="33" spans="1:39" s="94" customFormat="1">
      <c r="A33" s="93"/>
      <c r="B33" s="93"/>
      <c r="C33" s="133" t="s">
        <v>189</v>
      </c>
      <c r="D33" s="291">
        <f>H25*2</f>
        <v>8</v>
      </c>
      <c r="E33" s="292"/>
      <c r="F33" s="134"/>
      <c r="G33" s="135"/>
      <c r="H33" s="136"/>
      <c r="I33" s="93"/>
      <c r="J33" s="137" t="s">
        <v>105</v>
      </c>
      <c r="K33" s="138"/>
      <c r="L33" s="139">
        <f t="shared" ref="L33:N37" si="28">S33</f>
        <v>2</v>
      </c>
      <c r="M33" s="139">
        <f t="shared" si="28"/>
        <v>0</v>
      </c>
      <c r="N33" s="140">
        <f t="shared" si="28"/>
        <v>0</v>
      </c>
      <c r="O33" s="93"/>
      <c r="P33" s="93"/>
      <c r="Q33" s="93"/>
      <c r="R33" s="249">
        <v>1</v>
      </c>
      <c r="S33" s="261">
        <f t="shared" ref="S33:S47" si="29">COUNTIF($V$7:$AC$29,R33)</f>
        <v>2</v>
      </c>
      <c r="T33" s="249">
        <f t="shared" ref="T33:T47" si="30">COUNTIF($Q$7:$Q$26,R33)</f>
        <v>0</v>
      </c>
      <c r="U33" s="249">
        <f t="shared" si="27"/>
        <v>0</v>
      </c>
      <c r="AD33" s="95"/>
      <c r="AE33" s="95"/>
      <c r="AF33" s="93"/>
      <c r="AG33" s="93"/>
      <c r="AJ33" s="93"/>
      <c r="AK33" s="93"/>
      <c r="AL33" s="93"/>
      <c r="AM33" s="93"/>
    </row>
    <row r="34" spans="1:39" s="94" customFormat="1">
      <c r="A34" s="93"/>
      <c r="B34" s="93"/>
      <c r="C34" s="172" t="s">
        <v>194</v>
      </c>
      <c r="D34" s="289">
        <f>D29+F29</f>
        <v>2</v>
      </c>
      <c r="E34" s="289"/>
      <c r="F34" s="135"/>
      <c r="G34" s="135"/>
      <c r="H34" s="136"/>
      <c r="I34" s="93"/>
      <c r="J34" s="137" t="s">
        <v>106</v>
      </c>
      <c r="K34" s="138"/>
      <c r="L34" s="139">
        <f t="shared" si="28"/>
        <v>0</v>
      </c>
      <c r="M34" s="139">
        <f t="shared" si="28"/>
        <v>0</v>
      </c>
      <c r="N34" s="140">
        <f t="shared" si="28"/>
        <v>0</v>
      </c>
      <c r="O34" s="93"/>
      <c r="P34" s="93"/>
      <c r="Q34" s="93"/>
      <c r="R34" s="249">
        <v>2</v>
      </c>
      <c r="S34" s="261">
        <f t="shared" si="29"/>
        <v>0</v>
      </c>
      <c r="T34" s="249">
        <f t="shared" si="30"/>
        <v>0</v>
      </c>
      <c r="U34" s="249">
        <f t="shared" si="27"/>
        <v>0</v>
      </c>
      <c r="AD34" s="95"/>
      <c r="AE34" s="95"/>
      <c r="AF34" s="93"/>
      <c r="AG34" s="93"/>
      <c r="AJ34" s="93"/>
      <c r="AK34" s="93"/>
      <c r="AL34" s="93"/>
      <c r="AM34" s="93"/>
    </row>
    <row r="35" spans="1:39" s="94" customFormat="1">
      <c r="A35" s="93"/>
      <c r="B35" s="93"/>
      <c r="C35" s="141" t="s">
        <v>158</v>
      </c>
      <c r="D35" s="293">
        <f>SUM(D31:D34)</f>
        <v>124</v>
      </c>
      <c r="E35" s="294"/>
      <c r="F35" s="134" t="s">
        <v>195</v>
      </c>
      <c r="G35" s="135"/>
      <c r="H35" s="136"/>
      <c r="I35" s="93"/>
      <c r="J35" s="137" t="s">
        <v>107</v>
      </c>
      <c r="K35" s="138"/>
      <c r="L35" s="139">
        <f t="shared" si="28"/>
        <v>3</v>
      </c>
      <c r="M35" s="139">
        <f t="shared" si="28"/>
        <v>0</v>
      </c>
      <c r="N35" s="140">
        <f t="shared" si="28"/>
        <v>0</v>
      </c>
      <c r="O35" s="93"/>
      <c r="P35" s="93"/>
      <c r="Q35" s="93"/>
      <c r="R35" s="249">
        <v>3</v>
      </c>
      <c r="S35" s="261">
        <f t="shared" si="29"/>
        <v>3</v>
      </c>
      <c r="T35" s="249">
        <f t="shared" si="30"/>
        <v>0</v>
      </c>
      <c r="U35" s="249">
        <f t="shared" si="27"/>
        <v>0</v>
      </c>
      <c r="AD35" s="95"/>
      <c r="AE35" s="95"/>
      <c r="AF35" s="93"/>
      <c r="AG35" s="93"/>
      <c r="AJ35" s="93"/>
      <c r="AK35" s="93"/>
      <c r="AL35" s="93"/>
      <c r="AM35" s="93"/>
    </row>
    <row r="36" spans="1:39" s="94" customFormat="1">
      <c r="A36" s="93"/>
      <c r="B36" s="93"/>
      <c r="C36" s="141" t="s">
        <v>23</v>
      </c>
      <c r="D36" s="295">
        <f>IF(D37="bestanden",INT(F36*10)/10,"")</f>
        <v>4.0999999999999996</v>
      </c>
      <c r="E36" s="296"/>
      <c r="F36" s="245">
        <f>17/3-5*D35/420</f>
        <v>4.1904761904761907</v>
      </c>
      <c r="G36" s="134"/>
      <c r="H36" s="136"/>
      <c r="I36" s="93"/>
      <c r="J36" s="142" t="s">
        <v>149</v>
      </c>
      <c r="K36" s="143"/>
      <c r="L36" s="144">
        <f t="shared" si="28"/>
        <v>12</v>
      </c>
      <c r="M36" s="144">
        <f t="shared" si="28"/>
        <v>6</v>
      </c>
      <c r="N36" s="145">
        <f t="shared" si="28"/>
        <v>0</v>
      </c>
      <c r="O36" s="93"/>
      <c r="P36" s="93"/>
      <c r="Q36" s="93"/>
      <c r="R36" s="249">
        <v>4</v>
      </c>
      <c r="S36" s="261">
        <f t="shared" si="29"/>
        <v>12</v>
      </c>
      <c r="T36" s="249">
        <f t="shared" si="30"/>
        <v>6</v>
      </c>
      <c r="U36" s="249">
        <f t="shared" si="27"/>
        <v>0</v>
      </c>
      <c r="AD36" s="95"/>
      <c r="AE36" s="95"/>
      <c r="AF36" s="93"/>
      <c r="AG36" s="93"/>
      <c r="AJ36" s="93"/>
      <c r="AK36" s="93"/>
      <c r="AL36" s="93"/>
      <c r="AM36" s="93"/>
    </row>
    <row r="37" spans="1:39" s="94" customFormat="1">
      <c r="A37" s="93"/>
      <c r="B37" s="93"/>
      <c r="C37" s="264" t="str">
        <f>IF(SUM(U15+U22+U29)&gt;0,"Abitur (allgemein)","Abitur (fachgebunden)")</f>
        <v>Abitur (fachgebunden)</v>
      </c>
      <c r="D37" s="297" t="str">
        <f>IF(AND(E43=0,H32=18,U48=4,H25&gt;0,M27&lt;4),"bestanden","nicht bestanden")</f>
        <v>bestanden</v>
      </c>
      <c r="E37" s="298"/>
      <c r="F37" s="293"/>
      <c r="G37" s="135"/>
      <c r="H37" s="136"/>
      <c r="I37" s="93"/>
      <c r="J37" s="142" t="s">
        <v>150</v>
      </c>
      <c r="K37" s="143"/>
      <c r="L37" s="144">
        <f t="shared" si="28"/>
        <v>1</v>
      </c>
      <c r="M37" s="144">
        <f t="shared" si="28"/>
        <v>2</v>
      </c>
      <c r="N37" s="145">
        <f t="shared" si="28"/>
        <v>1</v>
      </c>
      <c r="O37" s="93"/>
      <c r="P37" s="93"/>
      <c r="Q37" s="93"/>
      <c r="R37" s="249">
        <v>5</v>
      </c>
      <c r="S37" s="261">
        <f t="shared" si="29"/>
        <v>1</v>
      </c>
      <c r="T37" s="249">
        <f t="shared" si="30"/>
        <v>2</v>
      </c>
      <c r="U37" s="249">
        <f t="shared" si="27"/>
        <v>1</v>
      </c>
      <c r="AD37" s="95"/>
      <c r="AE37" s="95"/>
      <c r="AF37" s="93"/>
      <c r="AG37" s="93"/>
      <c r="AJ37" s="93"/>
      <c r="AK37" s="93"/>
      <c r="AL37" s="93"/>
      <c r="AM37" s="93"/>
    </row>
    <row r="38" spans="1:39" s="94" customFormat="1">
      <c r="A38" s="93"/>
      <c r="B38" s="93"/>
      <c r="C38" s="93"/>
      <c r="D38" s="93"/>
      <c r="E38" s="93"/>
      <c r="F38" s="93"/>
      <c r="G38" s="93"/>
      <c r="H38" s="93"/>
      <c r="I38" s="93"/>
      <c r="J38" s="293" t="s">
        <v>151</v>
      </c>
      <c r="K38" s="294"/>
      <c r="L38" s="247">
        <f>SUM(L32:L35)</f>
        <v>5</v>
      </c>
      <c r="M38" s="247">
        <f>SUM(M32:M35)</f>
        <v>0</v>
      </c>
      <c r="N38" s="248">
        <f>SUM(N32:N35)</f>
        <v>0</v>
      </c>
      <c r="O38" s="93"/>
      <c r="P38" s="93"/>
      <c r="Q38" s="93"/>
      <c r="R38" s="249">
        <v>6</v>
      </c>
      <c r="S38" s="261">
        <f t="shared" si="29"/>
        <v>0</v>
      </c>
      <c r="T38" s="249">
        <f t="shared" si="30"/>
        <v>1</v>
      </c>
      <c r="U38" s="249">
        <f t="shared" si="27"/>
        <v>2</v>
      </c>
      <c r="AD38" s="95"/>
      <c r="AE38" s="95"/>
      <c r="AF38" s="93"/>
      <c r="AG38" s="93"/>
      <c r="AJ38" s="93"/>
      <c r="AK38" s="93"/>
      <c r="AL38" s="93"/>
      <c r="AM38" s="93"/>
    </row>
    <row r="39" spans="1:39" s="94" customFormat="1">
      <c r="A39" s="93"/>
      <c r="B39" s="93"/>
      <c r="C39" s="146" t="s">
        <v>172</v>
      </c>
      <c r="D39" s="299"/>
      <c r="E39" s="299"/>
      <c r="F39" s="299"/>
      <c r="G39" s="93"/>
      <c r="H39" s="93"/>
      <c r="I39" s="93"/>
      <c r="J39" s="194" t="s">
        <v>152</v>
      </c>
      <c r="K39" s="195"/>
      <c r="L39" s="191">
        <f>2*L32+L33+L34+L35</f>
        <v>5</v>
      </c>
      <c r="M39" s="191">
        <f>2*M32+M33+M34+M35</f>
        <v>0</v>
      </c>
      <c r="N39" s="89">
        <f>2*N32+N33+N34+N35</f>
        <v>0</v>
      </c>
      <c r="O39" s="93"/>
      <c r="P39" s="93"/>
      <c r="Q39" s="93"/>
      <c r="R39" s="249">
        <v>7</v>
      </c>
      <c r="S39" s="261">
        <f t="shared" si="29"/>
        <v>0</v>
      </c>
      <c r="T39" s="249">
        <f t="shared" si="30"/>
        <v>1</v>
      </c>
      <c r="U39" s="249">
        <f t="shared" si="27"/>
        <v>0</v>
      </c>
      <c r="AD39" s="95"/>
      <c r="AE39" s="95"/>
      <c r="AF39" s="93"/>
      <c r="AG39" s="93"/>
      <c r="AJ39" s="93"/>
      <c r="AK39" s="93"/>
      <c r="AL39" s="93"/>
      <c r="AM39" s="93"/>
    </row>
    <row r="40" spans="1:39" s="94" customFormat="1">
      <c r="A40" s="93"/>
      <c r="B40" s="93"/>
      <c r="C40" s="206" t="s">
        <v>180</v>
      </c>
      <c r="D40" s="288" t="str">
        <f>IF(AND(N32=0,N39&lt;3,U48=4),"erfüllt","nicht erfüllt")</f>
        <v>erfüllt</v>
      </c>
      <c r="E40" s="288"/>
      <c r="F40" s="288"/>
      <c r="G40" s="93"/>
      <c r="H40" s="93"/>
      <c r="I40" s="93"/>
      <c r="J40" s="147"/>
      <c r="K40" s="147"/>
      <c r="L40" s="250"/>
      <c r="M40" s="93"/>
      <c r="N40" s="93"/>
      <c r="O40" s="93"/>
      <c r="P40" s="93"/>
      <c r="Q40" s="93"/>
      <c r="R40" s="249">
        <v>8</v>
      </c>
      <c r="S40" s="261">
        <f t="shared" si="29"/>
        <v>0</v>
      </c>
      <c r="T40" s="249">
        <f t="shared" si="30"/>
        <v>0</v>
      </c>
      <c r="U40" s="249">
        <f t="shared" si="27"/>
        <v>0</v>
      </c>
      <c r="AD40" s="95"/>
      <c r="AE40" s="95"/>
      <c r="AF40" s="93"/>
      <c r="AG40" s="93"/>
      <c r="AJ40" s="93"/>
      <c r="AK40" s="93"/>
      <c r="AL40" s="93"/>
      <c r="AM40" s="93"/>
    </row>
    <row r="41" spans="1:39" s="94" customFormat="1">
      <c r="A41" s="93"/>
      <c r="B41" s="93"/>
      <c r="C41" s="214" t="s">
        <v>181</v>
      </c>
      <c r="D41" s="289" t="str">
        <f>IF(H32=18,IF(OR((M39=0),AND(M39=1,D35&gt;=140),AND(M39=2,D35&gt;=168)),"erfüllt","nicht erfüllt"))</f>
        <v>erfüllt</v>
      </c>
      <c r="E41" s="289"/>
      <c r="F41" s="289"/>
      <c r="G41" s="93"/>
      <c r="H41" s="93"/>
      <c r="I41" s="93"/>
      <c r="J41" s="149"/>
      <c r="K41" s="149"/>
      <c r="L41" s="93"/>
      <c r="M41" s="93"/>
      <c r="N41" s="93"/>
      <c r="O41" s="93"/>
      <c r="P41" s="93"/>
      <c r="Q41" s="93"/>
      <c r="R41" s="249">
        <v>9</v>
      </c>
      <c r="S41" s="261">
        <f t="shared" si="29"/>
        <v>0</v>
      </c>
      <c r="T41" s="249">
        <f t="shared" si="30"/>
        <v>0</v>
      </c>
      <c r="U41" s="249">
        <f t="shared" si="27"/>
        <v>1</v>
      </c>
      <c r="AD41" s="95"/>
      <c r="AE41" s="95"/>
      <c r="AF41" s="93"/>
      <c r="AG41" s="93"/>
      <c r="AJ41" s="93"/>
      <c r="AK41" s="93"/>
      <c r="AL41" s="93"/>
      <c r="AM41" s="93"/>
    </row>
    <row r="42" spans="1:39" s="94" customFormat="1">
      <c r="A42" s="93"/>
      <c r="B42" s="93"/>
      <c r="C42" s="216"/>
      <c r="D42" s="290"/>
      <c r="E42" s="290"/>
      <c r="F42" s="290"/>
      <c r="G42" s="93"/>
      <c r="H42" s="93"/>
      <c r="I42" s="93"/>
      <c r="J42" s="149"/>
      <c r="K42" s="149"/>
      <c r="L42" s="93"/>
      <c r="M42" s="93"/>
      <c r="N42" s="93"/>
      <c r="O42" s="93"/>
      <c r="P42" s="93"/>
      <c r="Q42" s="93"/>
      <c r="R42" s="249">
        <v>10</v>
      </c>
      <c r="S42" s="261">
        <f t="shared" si="29"/>
        <v>0</v>
      </c>
      <c r="T42" s="249">
        <f t="shared" si="30"/>
        <v>0</v>
      </c>
      <c r="U42" s="249">
        <f t="shared" si="27"/>
        <v>0</v>
      </c>
      <c r="AD42" s="95"/>
      <c r="AE42" s="95"/>
      <c r="AF42" s="93"/>
      <c r="AG42" s="93"/>
      <c r="AJ42" s="93"/>
      <c r="AK42" s="93"/>
      <c r="AL42" s="93"/>
      <c r="AM42" s="93"/>
    </row>
    <row r="43" spans="1:39" s="94" customFormat="1">
      <c r="A43" s="93"/>
      <c r="B43" s="93"/>
      <c r="C43" s="93"/>
      <c r="D43" s="93"/>
      <c r="E43" s="150">
        <f>COUNTIF(D40:F42,"nicht erfüllt")</f>
        <v>0</v>
      </c>
      <c r="F43" s="93"/>
      <c r="G43" s="93"/>
      <c r="H43" s="93"/>
      <c r="I43" s="93"/>
      <c r="J43" s="151"/>
      <c r="K43" s="151"/>
      <c r="L43" s="250"/>
      <c r="M43" s="93"/>
      <c r="N43" s="93"/>
      <c r="O43" s="93"/>
      <c r="P43" s="93"/>
      <c r="Q43" s="93"/>
      <c r="R43" s="249">
        <v>11</v>
      </c>
      <c r="S43" s="261">
        <f t="shared" si="29"/>
        <v>0</v>
      </c>
      <c r="T43" s="249">
        <f t="shared" si="30"/>
        <v>0</v>
      </c>
      <c r="U43" s="249">
        <f t="shared" si="27"/>
        <v>0</v>
      </c>
      <c r="AD43" s="95"/>
      <c r="AE43" s="95"/>
      <c r="AF43" s="93"/>
      <c r="AG43" s="93"/>
      <c r="AJ43" s="93"/>
      <c r="AK43" s="93"/>
      <c r="AL43" s="93"/>
      <c r="AM43" s="93"/>
    </row>
    <row r="44" spans="1:39" s="94" customFormat="1">
      <c r="A44" s="93"/>
      <c r="B44" s="93"/>
      <c r="C44" s="287" t="s">
        <v>160</v>
      </c>
      <c r="D44" s="287"/>
      <c r="E44" s="287"/>
      <c r="F44" s="287"/>
      <c r="G44" s="287"/>
      <c r="H44" s="287"/>
      <c r="I44" s="287"/>
      <c r="J44" s="287"/>
      <c r="K44" s="287"/>
      <c r="L44" s="287"/>
      <c r="M44" s="287"/>
      <c r="N44" s="287"/>
      <c r="O44" s="287"/>
      <c r="P44" s="93"/>
      <c r="Q44" s="93"/>
      <c r="R44" s="249">
        <v>12</v>
      </c>
      <c r="S44" s="261">
        <f t="shared" si="29"/>
        <v>0</v>
      </c>
      <c r="T44" s="249">
        <f t="shared" si="30"/>
        <v>0</v>
      </c>
      <c r="U44" s="249">
        <f t="shared" si="27"/>
        <v>0</v>
      </c>
      <c r="AD44" s="95"/>
      <c r="AE44" s="95"/>
      <c r="AF44" s="93"/>
      <c r="AG44" s="93"/>
      <c r="AJ44" s="93"/>
      <c r="AK44" s="93"/>
      <c r="AL44" s="93"/>
      <c r="AM44" s="93"/>
    </row>
    <row r="45" spans="1:39" s="94" customFormat="1">
      <c r="A45" s="93"/>
      <c r="B45" s="93"/>
      <c r="C45" s="93"/>
      <c r="D45" s="93"/>
      <c r="E45" s="93"/>
      <c r="F45" s="93"/>
      <c r="G45" s="93"/>
      <c r="H45" s="93"/>
      <c r="I45" s="93"/>
      <c r="J45" s="151"/>
      <c r="K45" s="151"/>
      <c r="L45" s="250"/>
      <c r="M45" s="93"/>
      <c r="N45" s="93"/>
      <c r="O45" s="93"/>
      <c r="P45" s="93"/>
      <c r="Q45" s="93"/>
      <c r="R45" s="249">
        <v>13</v>
      </c>
      <c r="S45" s="261">
        <f t="shared" si="29"/>
        <v>0</v>
      </c>
      <c r="T45" s="249">
        <f t="shared" si="30"/>
        <v>0</v>
      </c>
      <c r="U45" s="249">
        <f t="shared" si="27"/>
        <v>0</v>
      </c>
      <c r="AD45" s="95"/>
      <c r="AE45" s="95"/>
      <c r="AF45" s="93"/>
      <c r="AG45" s="93"/>
      <c r="AJ45" s="93"/>
      <c r="AK45" s="93"/>
      <c r="AL45" s="93"/>
      <c r="AM45" s="93"/>
    </row>
    <row r="46" spans="1:39" s="94" customFormat="1">
      <c r="A46" s="93"/>
      <c r="B46" s="93"/>
      <c r="C46" s="188" t="str">
        <f>'FOS 12'!C44</f>
        <v>Version 07.02.20</v>
      </c>
      <c r="D46" s="93"/>
      <c r="E46" s="93"/>
      <c r="F46" s="93"/>
      <c r="G46" s="93"/>
      <c r="H46" s="93"/>
      <c r="I46" s="93"/>
      <c r="J46" s="151"/>
      <c r="K46" s="151"/>
      <c r="L46" s="250"/>
      <c r="M46" s="93"/>
      <c r="N46" s="93"/>
      <c r="O46" s="93"/>
      <c r="P46" s="93"/>
      <c r="Q46" s="93"/>
      <c r="R46" s="249">
        <v>14</v>
      </c>
      <c r="S46" s="261">
        <f t="shared" si="29"/>
        <v>0</v>
      </c>
      <c r="T46" s="249">
        <f t="shared" si="30"/>
        <v>0</v>
      </c>
      <c r="U46" s="249">
        <f t="shared" si="27"/>
        <v>0</v>
      </c>
      <c r="AD46" s="95"/>
      <c r="AE46" s="95"/>
      <c r="AF46" s="93"/>
      <c r="AG46" s="93"/>
      <c r="AJ46" s="93"/>
      <c r="AK46" s="93"/>
      <c r="AL46" s="93"/>
      <c r="AM46" s="93"/>
    </row>
    <row r="47" spans="1:39" s="94" customFormat="1">
      <c r="A47" s="93"/>
      <c r="B47" s="93"/>
      <c r="C47" s="188" t="s">
        <v>163</v>
      </c>
      <c r="D47" s="93"/>
      <c r="E47" s="93"/>
      <c r="F47" s="93"/>
      <c r="G47" s="93"/>
      <c r="H47" s="93"/>
      <c r="I47" s="93"/>
      <c r="J47" s="151"/>
      <c r="K47" s="151"/>
      <c r="L47" s="250"/>
      <c r="M47" s="93"/>
      <c r="N47" s="93"/>
      <c r="O47" s="93"/>
      <c r="P47" s="93"/>
      <c r="Q47" s="93"/>
      <c r="R47" s="249">
        <v>15</v>
      </c>
      <c r="S47" s="261">
        <f t="shared" si="29"/>
        <v>0</v>
      </c>
      <c r="T47" s="249">
        <f t="shared" si="30"/>
        <v>0</v>
      </c>
      <c r="U47" s="249">
        <f t="shared" si="27"/>
        <v>0</v>
      </c>
      <c r="AD47" s="95"/>
      <c r="AE47" s="95"/>
      <c r="AF47" s="93"/>
      <c r="AG47" s="93"/>
      <c r="AJ47" s="93"/>
      <c r="AK47" s="93"/>
      <c r="AL47" s="93"/>
      <c r="AM47" s="93"/>
    </row>
    <row r="48" spans="1:39" s="94" customFormat="1">
      <c r="A48" s="93"/>
      <c r="B48" s="93"/>
      <c r="C48" s="93"/>
      <c r="D48" s="93"/>
      <c r="E48" s="93"/>
      <c r="F48" s="93"/>
      <c r="G48" s="93"/>
      <c r="H48" s="93"/>
      <c r="I48" s="93"/>
      <c r="J48" s="149"/>
      <c r="K48" s="149"/>
      <c r="L48" s="93"/>
      <c r="M48" s="93"/>
      <c r="N48" s="93"/>
      <c r="O48" s="93"/>
      <c r="P48" s="93"/>
      <c r="Q48" s="93"/>
      <c r="R48" s="249"/>
      <c r="S48" s="152">
        <f>SUM(S32:S47)</f>
        <v>18</v>
      </c>
      <c r="T48" s="152">
        <f>SUM(T32:T47)</f>
        <v>10</v>
      </c>
      <c r="U48" s="152">
        <f>SUM(U32:U47)</f>
        <v>4</v>
      </c>
      <c r="AD48" s="95"/>
      <c r="AE48" s="95"/>
      <c r="AF48" s="93"/>
      <c r="AG48" s="93"/>
      <c r="AJ48" s="93"/>
      <c r="AK48" s="93"/>
      <c r="AL48" s="93"/>
      <c r="AM48" s="93"/>
    </row>
  </sheetData>
  <sheetProtection algorithmName="SHA-512" hashValue="L8OEt14uhxjip83pTRrzpgfD7AjxONAouzhdBHuIrLZW4CuRNH1kKTD3F5unhSKPPmqmgxTgudBXeJ7xzzcDRA==" saltValue="FzJMaxm0Cwxw9R9c0Ml6Kg==" spinCount="100000" sheet="1" formatRows="0" selectLockedCells="1"/>
  <mergeCells count="36">
    <mergeCell ref="C44:O44"/>
    <mergeCell ref="D37:F37"/>
    <mergeCell ref="J38:K38"/>
    <mergeCell ref="D39:F39"/>
    <mergeCell ref="D40:F40"/>
    <mergeCell ref="D41:F41"/>
    <mergeCell ref="D42:F42"/>
    <mergeCell ref="D36:E36"/>
    <mergeCell ref="AJ10:AK10"/>
    <mergeCell ref="AI12:AM12"/>
    <mergeCell ref="H25:K25"/>
    <mergeCell ref="D27:K27"/>
    <mergeCell ref="D28:K28"/>
    <mergeCell ref="D31:E31"/>
    <mergeCell ref="F31:G31"/>
    <mergeCell ref="D32:E32"/>
    <mergeCell ref="F32:G32"/>
    <mergeCell ref="D33:E33"/>
    <mergeCell ref="D34:E34"/>
    <mergeCell ref="D35:E35"/>
    <mergeCell ref="AJ9:AK9"/>
    <mergeCell ref="I2:O2"/>
    <mergeCell ref="AJ2:AK2"/>
    <mergeCell ref="J3:N3"/>
    <mergeCell ref="D5:K5"/>
    <mergeCell ref="AJ5:AK5"/>
    <mergeCell ref="AJ6:AK6"/>
    <mergeCell ref="AJ7:AL7"/>
    <mergeCell ref="AJ8:AM8"/>
    <mergeCell ref="AJ1:AK1"/>
    <mergeCell ref="AJ4:AK4"/>
    <mergeCell ref="AL3:AM3"/>
    <mergeCell ref="AL4:AM4"/>
    <mergeCell ref="D4:F4"/>
    <mergeCell ref="H4:O4"/>
    <mergeCell ref="AJ3:AK3"/>
  </mergeCells>
  <conditionalFormatting sqref="T2:T4">
    <cfRule type="cellIs" dxfId="138" priority="72" operator="greaterThan">
      <formula>1</formula>
    </cfRule>
  </conditionalFormatting>
  <conditionalFormatting sqref="H32">
    <cfRule type="cellIs" dxfId="137" priority="70" operator="notEqual">
      <formula>18</formula>
    </cfRule>
    <cfRule type="cellIs" dxfId="136" priority="71" operator="equal">
      <formula>18</formula>
    </cfRule>
  </conditionalFormatting>
  <conditionalFormatting sqref="D27">
    <cfRule type="expression" dxfId="135" priority="69">
      <formula>R5&gt;1</formula>
    </cfRule>
  </conditionalFormatting>
  <conditionalFormatting sqref="D37:F37">
    <cfRule type="containsText" dxfId="134" priority="67" operator="containsText" text="nicht bestanden">
      <formula>NOT(ISERROR(SEARCH("nicht bestanden",D37)))</formula>
    </cfRule>
    <cfRule type="containsText" dxfId="133" priority="68" operator="containsText" text="bestanden">
      <formula>NOT(ISERROR(SEARCH("bestanden",D37)))</formula>
    </cfRule>
  </conditionalFormatting>
  <conditionalFormatting sqref="D18">
    <cfRule type="expression" dxfId="132" priority="65">
      <formula>"G5=0"</formula>
    </cfRule>
    <cfRule type="expression" dxfId="131" priority="66">
      <formula>E18=1</formula>
    </cfRule>
  </conditionalFormatting>
  <conditionalFormatting sqref="F16">
    <cfRule type="expression" dxfId="130" priority="63">
      <formula>"G5=0"</formula>
    </cfRule>
    <cfRule type="expression" dxfId="129" priority="64">
      <formula>G16=1</formula>
    </cfRule>
  </conditionalFormatting>
  <conditionalFormatting sqref="H7">
    <cfRule type="expression" dxfId="128" priority="61">
      <formula>"&lt;&gt;istzahl(Z7)"</formula>
    </cfRule>
    <cfRule type="expression" dxfId="127" priority="62">
      <formula>ISNUMBER(Z7)</formula>
    </cfRule>
  </conditionalFormatting>
  <conditionalFormatting sqref="D11">
    <cfRule type="expression" dxfId="126" priority="59">
      <formula>"&lt;&gt;istzahl(Z7)"</formula>
    </cfRule>
    <cfRule type="expression" dxfId="125" priority="60">
      <formula>ISNUMBER(V11)</formula>
    </cfRule>
  </conditionalFormatting>
  <conditionalFormatting sqref="D17">
    <cfRule type="expression" dxfId="124" priority="57">
      <formula>"&lt;&gt;istzahl(Z7)"</formula>
    </cfRule>
    <cfRule type="expression" dxfId="123" priority="58">
      <formula>ISNUMBER(V17)</formula>
    </cfRule>
  </conditionalFormatting>
  <conditionalFormatting sqref="F8:F11">
    <cfRule type="expression" dxfId="122" priority="55">
      <formula>"&lt;&gt;istzahl(Z7)"</formula>
    </cfRule>
    <cfRule type="expression" dxfId="121" priority="56">
      <formula>ISNUMBER(X8)</formula>
    </cfRule>
  </conditionalFormatting>
  <conditionalFormatting sqref="F14:F15">
    <cfRule type="expression" dxfId="120" priority="53">
      <formula>"&lt;&gt;istzahl(Z7)"</formula>
    </cfRule>
    <cfRule type="expression" dxfId="119" priority="54">
      <formula>ISNUMBER(X14)</formula>
    </cfRule>
  </conditionalFormatting>
  <conditionalFormatting sqref="F17:F19">
    <cfRule type="expression" dxfId="118" priority="51">
      <formula>"&lt;&gt;istzahl(Z7)"</formula>
    </cfRule>
    <cfRule type="expression" dxfId="117" priority="52">
      <formula>ISNUMBER(X17)</formula>
    </cfRule>
  </conditionalFormatting>
  <conditionalFormatting sqref="H8:H10">
    <cfRule type="expression" dxfId="116" priority="49">
      <formula>"&lt;&gt;istzahl(Z7)"</formula>
    </cfRule>
    <cfRule type="expression" dxfId="115" priority="50">
      <formula>ISNUMBER(Z8)</formula>
    </cfRule>
  </conditionalFormatting>
  <conditionalFormatting sqref="H12:H13">
    <cfRule type="expression" dxfId="114" priority="47">
      <formula>"&lt;&gt;istzahl(Z7)"</formula>
    </cfRule>
    <cfRule type="expression" dxfId="113" priority="48">
      <formula>ISNUMBER(Z12)</formula>
    </cfRule>
  </conditionalFormatting>
  <conditionalFormatting sqref="H14:H16">
    <cfRule type="expression" dxfId="112" priority="45">
      <formula>"&lt;&gt;istzahl(Z7)"</formula>
    </cfRule>
    <cfRule type="expression" dxfId="111" priority="46">
      <formula>ISNUMBER(Z14)</formula>
    </cfRule>
  </conditionalFormatting>
  <conditionalFormatting sqref="H18:H24">
    <cfRule type="expression" dxfId="110" priority="43">
      <formula>"&lt;&gt;istzahl(Z7)"</formula>
    </cfRule>
    <cfRule type="expression" dxfId="109" priority="44">
      <formula>ISNUMBER(Z18)</formula>
    </cfRule>
  </conditionalFormatting>
  <conditionalFormatting sqref="J7">
    <cfRule type="expression" dxfId="108" priority="41">
      <formula>"&lt;&gt;istzahl(Z7)"</formula>
    </cfRule>
    <cfRule type="expression" dxfId="107" priority="42">
      <formula>ISNUMBER(AB7)</formula>
    </cfRule>
  </conditionalFormatting>
  <conditionalFormatting sqref="J8:J10">
    <cfRule type="expression" dxfId="106" priority="39">
      <formula>"&lt;&gt;istzahl(Z7)"</formula>
    </cfRule>
    <cfRule type="expression" dxfId="105" priority="40">
      <formula>ISNUMBER(AB8)</formula>
    </cfRule>
  </conditionalFormatting>
  <conditionalFormatting sqref="J12:J13">
    <cfRule type="expression" dxfId="104" priority="37">
      <formula>"&lt;&gt;istzahl(Z7)"</formula>
    </cfRule>
    <cfRule type="expression" dxfId="103" priority="38">
      <formula>ISNUMBER(AB12)</formula>
    </cfRule>
  </conditionalFormatting>
  <conditionalFormatting sqref="J14:J16">
    <cfRule type="expression" dxfId="102" priority="35">
      <formula>"&lt;&gt;istzahl(Z7)"</formula>
    </cfRule>
    <cfRule type="expression" dxfId="101" priority="36">
      <formula>ISNUMBER(AB14)</formula>
    </cfRule>
  </conditionalFormatting>
  <conditionalFormatting sqref="J18:J20 J22:J24">
    <cfRule type="expression" dxfId="100" priority="33">
      <formula>"&lt;&gt;istzahl(Z7)"</formula>
    </cfRule>
    <cfRule type="expression" dxfId="99" priority="34">
      <formula>ISNUMBER(AB18)</formula>
    </cfRule>
  </conditionalFormatting>
  <conditionalFormatting sqref="L8">
    <cfRule type="expression" dxfId="98" priority="32">
      <formula>ISNUMBER(L8)</formula>
    </cfRule>
  </conditionalFormatting>
  <conditionalFormatting sqref="L9:L10">
    <cfRule type="expression" dxfId="97" priority="31">
      <formula>ISNUMBER(L9)</formula>
    </cfRule>
  </conditionalFormatting>
  <conditionalFormatting sqref="M8:M10">
    <cfRule type="expression" dxfId="96" priority="30">
      <formula>ISNUMBER(M8)</formula>
    </cfRule>
  </conditionalFormatting>
  <conditionalFormatting sqref="L14">
    <cfRule type="expression" dxfId="95" priority="29">
      <formula>ISNUMBER(L14)</formula>
    </cfRule>
  </conditionalFormatting>
  <conditionalFormatting sqref="M14">
    <cfRule type="expression" dxfId="94" priority="28">
      <formula>ISNUMBER(M14)</formula>
    </cfRule>
  </conditionalFormatting>
  <conditionalFormatting sqref="D26">
    <cfRule type="expression" dxfId="93" priority="27">
      <formula>ISNUMBER(D26)</formula>
    </cfRule>
  </conditionalFormatting>
  <conditionalFormatting sqref="F26">
    <cfRule type="expression" dxfId="92" priority="26">
      <formula>ISNUMBER(F26)</formula>
    </cfRule>
  </conditionalFormatting>
  <conditionalFormatting sqref="H25:K25">
    <cfRule type="expression" dxfId="91" priority="25">
      <formula>ISNUMBER(H25)</formula>
    </cfRule>
  </conditionalFormatting>
  <conditionalFormatting sqref="H31">
    <cfRule type="expression" dxfId="90" priority="23">
      <formula>$H$31&lt;&gt;4</formula>
    </cfRule>
    <cfRule type="expression" dxfId="89" priority="24">
      <formula>$H$31=4</formula>
    </cfRule>
  </conditionalFormatting>
  <conditionalFormatting sqref="O22">
    <cfRule type="expression" dxfId="88" priority="22">
      <formula>$A$22=0</formula>
    </cfRule>
  </conditionalFormatting>
  <conditionalFormatting sqref="O23">
    <cfRule type="expression" dxfId="87" priority="21">
      <formula>$A$23=0</formula>
    </cfRule>
  </conditionalFormatting>
  <conditionalFormatting sqref="D28:K28 E29 G29:K29 D30:K30">
    <cfRule type="containsText" dxfId="86" priority="20" operator="containsText" text="Zur Prüfung nicht zugelassen">
      <formula>NOT(ISERROR(SEARCH("Zur Prüfung nicht zugelassen",D28)))</formula>
    </cfRule>
  </conditionalFormatting>
  <conditionalFormatting sqref="AM1">
    <cfRule type="expression" dxfId="85" priority="18">
      <formula>$H$31&lt;&gt;4</formula>
    </cfRule>
    <cfRule type="expression" dxfId="84" priority="19">
      <formula>$H$31=4</formula>
    </cfRule>
  </conditionalFormatting>
  <conditionalFormatting sqref="AJ7:AL7">
    <cfRule type="containsText" dxfId="83" priority="16" operator="containsText" text="nicht bestanden">
      <formula>NOT(ISERROR(SEARCH("nicht bestanden",AJ7)))</formula>
    </cfRule>
    <cfRule type="containsText" dxfId="82" priority="17" operator="containsText" text="bestanden">
      <formula>NOT(ISERROR(SEARCH("bestanden",AJ7)))</formula>
    </cfRule>
  </conditionalFormatting>
  <conditionalFormatting sqref="J21">
    <cfRule type="expression" dxfId="81" priority="14">
      <formula>"&lt;&gt;istzahl(Z7)"</formula>
    </cfRule>
    <cfRule type="expression" dxfId="80" priority="15">
      <formula>ISNUMBER(AB21)</formula>
    </cfRule>
  </conditionalFormatting>
  <conditionalFormatting sqref="AM2">
    <cfRule type="cellIs" dxfId="79" priority="12" operator="notEqual">
      <formula>18</formula>
    </cfRule>
    <cfRule type="cellIs" dxfId="78" priority="13" operator="equal">
      <formula>18</formula>
    </cfRule>
  </conditionalFormatting>
  <conditionalFormatting sqref="D29">
    <cfRule type="expression" dxfId="77" priority="7">
      <formula>"&lt;&gt;istzahl(Z7)"</formula>
    </cfRule>
    <cfRule type="expression" dxfId="76" priority="8">
      <formula>ISNUMBER(V29)</formula>
    </cfRule>
  </conditionalFormatting>
  <conditionalFormatting sqref="F29">
    <cfRule type="expression" dxfId="75" priority="5">
      <formula>"&lt;&gt;istzahl(Z7)"</formula>
    </cfRule>
    <cfRule type="expression" dxfId="74" priority="6">
      <formula>ISNUMBER(X29)</formula>
    </cfRule>
  </conditionalFormatting>
  <conditionalFormatting sqref="O29">
    <cfRule type="expression" dxfId="73" priority="4">
      <formula>$A$22=0</formula>
    </cfRule>
  </conditionalFormatting>
  <conditionalFormatting sqref="C37">
    <cfRule type="containsText" dxfId="72" priority="3" operator="containsText" text="Abitur (allgemein)">
      <formula>NOT(ISERROR(SEARCH("Abitur (allgemein)",C37)))</formula>
    </cfRule>
  </conditionalFormatting>
  <conditionalFormatting sqref="AI7">
    <cfRule type="containsText" dxfId="71" priority="2" operator="containsText" text="Abitur (allgemein)">
      <formula>NOT(ISERROR(SEARCH("Abitur (allgemein)",AI7)))</formula>
    </cfRule>
  </conditionalFormatting>
  <conditionalFormatting sqref="M27">
    <cfRule type="cellIs" dxfId="70" priority="1" operator="greaterThan">
      <formula>3</formula>
    </cfRule>
  </conditionalFormatting>
  <dataValidations count="2">
    <dataValidation type="whole" allowBlank="1" showInputMessage="1" showErrorMessage="1" sqref="K26" xr:uid="{00000000-0002-0000-0600-000000000000}">
      <formula1>0</formula1>
      <formula2>1</formula2>
    </dataValidation>
    <dataValidation type="whole" allowBlank="1" showInputMessage="1" showErrorMessage="1" sqref="J7:J10 F26 L14:M14 D11 F14:F16 D18 H19:H25 F18:F20 D26 F8:F11 L8:M10 H7:H10 H12:H16 J12:J16 J19:J24 D29 F29" xr:uid="{00000000-0002-0000-0600-000001000000}">
      <formula1>0</formula1>
      <formula2>15</formula2>
    </dataValidation>
  </dataValidations>
  <pageMargins left="0.70866141732283472" right="0.70866141732283472" top="1.3779527559055118" bottom="0.78740157480314965" header="0.31496062992125984" footer="0.31496062992125984"/>
  <pageSetup paperSize="9" scale="95"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2000000}">
          <x14:formula1>
            <xm:f>Hinweise!$G$4:$G$10</xm:f>
          </x14:formula1>
          <xm:sqref>D4</xm:sqref>
        </x14:dataValidation>
        <x14:dataValidation type="list" allowBlank="1" showInputMessage="1" showErrorMessage="1" xr:uid="{00000000-0002-0000-0600-000003000000}">
          <x14:formula1>
            <xm:f>Hinweise!$K$18:$K$19</xm:f>
          </x14:formula1>
          <xm:sqref>I7:I24 E7:E24 G7:G24 K7:K24</xm:sqref>
        </x14:dataValidation>
        <x14:dataValidation type="list" allowBlank="1" showInputMessage="1" showErrorMessage="1" xr:uid="{00000000-0002-0000-0600-000004000000}">
          <x14:formula1>
            <xm:f>Hinweise!$C$5:$C$37</xm:f>
          </x14:formula1>
          <xm:sqref>C24</xm:sqref>
        </x14:dataValidation>
        <x14:dataValidation type="list" allowBlank="1" showInputMessage="1" showErrorMessage="1" xr:uid="{00000000-0002-0000-0600-000005000000}">
          <x14:formula1>
            <xm:f>Hinweise!$C$6:$C$37</xm:f>
          </x14:formula1>
          <xm:sqref>C22:C23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4">
    <pageSetUpPr fitToPage="1"/>
  </sheetPr>
  <dimension ref="A1:AM48"/>
  <sheetViews>
    <sheetView tabSelected="1" topLeftCell="B1" zoomScaleNormal="100" workbookViewId="0">
      <selection activeCell="D4" sqref="D4:F4"/>
    </sheetView>
  </sheetViews>
  <sheetFormatPr baseColWidth="10" defaultRowHeight="15.75"/>
  <cols>
    <col min="1" max="1" width="5.625" style="93" hidden="1" customWidth="1"/>
    <col min="2" max="2" width="3.5" style="93" customWidth="1"/>
    <col min="3" max="3" width="30.875" style="93" customWidth="1"/>
    <col min="4" max="4" width="5.75" style="93" customWidth="1"/>
    <col min="5" max="5" width="3.625" style="93" bestFit="1" customWidth="1"/>
    <col min="6" max="6" width="5.75" style="93" customWidth="1"/>
    <col min="7" max="7" width="3.625" style="93" bestFit="1" customWidth="1"/>
    <col min="8" max="8" width="5.75" style="93" customWidth="1"/>
    <col min="9" max="9" width="3.625" style="93" bestFit="1" customWidth="1"/>
    <col min="10" max="10" width="5.75" style="93" customWidth="1"/>
    <col min="11" max="11" width="3.625" style="93" bestFit="1" customWidth="1"/>
    <col min="12" max="14" width="4" style="93" customWidth="1"/>
    <col min="15" max="16" width="5.375" style="93" customWidth="1"/>
    <col min="17" max="17" width="5.375" style="93" hidden="1" customWidth="1"/>
    <col min="18" max="19" width="8.25" style="94" hidden="1" customWidth="1"/>
    <col min="20" max="21" width="11" style="94" hidden="1" customWidth="1"/>
    <col min="22" max="22" width="4.625" style="94" hidden="1" customWidth="1"/>
    <col min="23" max="23" width="9.25" style="94" hidden="1" customWidth="1"/>
    <col min="24" max="24" width="4.625" style="94" hidden="1" customWidth="1"/>
    <col min="25" max="25" width="9.25" style="94" hidden="1" customWidth="1"/>
    <col min="26" max="26" width="4.625" style="94" hidden="1" customWidth="1"/>
    <col min="27" max="27" width="9.25" style="94" hidden="1" customWidth="1"/>
    <col min="28" max="28" width="4.625" style="94" hidden="1" customWidth="1"/>
    <col min="29" max="29" width="9.25" style="94" hidden="1" customWidth="1"/>
    <col min="30" max="31" width="9" style="95" hidden="1" customWidth="1"/>
    <col min="32" max="32" width="7.5" style="93" hidden="1" customWidth="1"/>
    <col min="33" max="33" width="9.5" style="93" hidden="1" customWidth="1"/>
    <col min="34" max="34" width="9.875" style="94" hidden="1" customWidth="1"/>
    <col min="35" max="35" width="30.125" style="94" bestFit="1" customWidth="1"/>
    <col min="36" max="37" width="5.75" style="93" customWidth="1"/>
    <col min="38" max="38" width="7.75" style="93" customWidth="1"/>
    <col min="39" max="39" width="4.875" style="93" customWidth="1"/>
    <col min="40" max="16384" width="11" style="93"/>
  </cols>
  <sheetData>
    <row r="1" spans="1:39">
      <c r="AI1" s="232" t="str">
        <f t="shared" ref="AI1:AJ4" si="0">C31</f>
        <v>Punktezahl Prüfungen (2-fach)</v>
      </c>
      <c r="AJ1" s="313">
        <f t="shared" si="0"/>
        <v>64</v>
      </c>
      <c r="AK1" s="324"/>
      <c r="AL1" s="233" t="s">
        <v>174</v>
      </c>
      <c r="AM1" s="234">
        <f>H31</f>
        <v>4</v>
      </c>
    </row>
    <row r="2" spans="1:39" ht="21">
      <c r="C2" s="239" t="s">
        <v>193</v>
      </c>
      <c r="D2" s="239"/>
      <c r="H2" s="93" t="s">
        <v>113</v>
      </c>
      <c r="I2" s="312" t="s">
        <v>179</v>
      </c>
      <c r="J2" s="312"/>
      <c r="K2" s="312"/>
      <c r="L2" s="312"/>
      <c r="M2" s="312"/>
      <c r="N2" s="312"/>
      <c r="O2" s="312"/>
      <c r="AI2" s="236" t="str">
        <f t="shared" si="0"/>
        <v>Punktezahl weiterer 16 HJE</v>
      </c>
      <c r="AJ2" s="291">
        <f t="shared" si="0"/>
        <v>91</v>
      </c>
      <c r="AK2" s="329"/>
      <c r="AL2" s="231" t="s">
        <v>157</v>
      </c>
      <c r="AM2" s="235">
        <f>H32</f>
        <v>16</v>
      </c>
    </row>
    <row r="3" spans="1:39" ht="15.75" customHeight="1">
      <c r="C3" s="96"/>
      <c r="D3" s="96"/>
      <c r="J3" s="302">
        <f ca="1">NOW()</f>
        <v>43949.388484374998</v>
      </c>
      <c r="K3" s="302"/>
      <c r="L3" s="302"/>
      <c r="M3" s="302"/>
      <c r="N3" s="302"/>
      <c r="AI3" s="236" t="str">
        <f t="shared" si="0"/>
        <v>Punktezahl Seminararbeit (2-fach)</v>
      </c>
      <c r="AJ3" s="289">
        <f t="shared" si="0"/>
        <v>10</v>
      </c>
      <c r="AK3" s="289"/>
      <c r="AL3" s="99"/>
      <c r="AM3" s="281"/>
    </row>
    <row r="4" spans="1:39" ht="15.75" customHeight="1">
      <c r="C4" s="97" t="s">
        <v>161</v>
      </c>
      <c r="D4" s="303" t="s">
        <v>124</v>
      </c>
      <c r="E4" s="304"/>
      <c r="F4" s="305"/>
      <c r="G4" s="98"/>
      <c r="H4" s="306" t="s">
        <v>160</v>
      </c>
      <c r="I4" s="307"/>
      <c r="J4" s="307"/>
      <c r="K4" s="307"/>
      <c r="L4" s="307"/>
      <c r="M4" s="307"/>
      <c r="N4" s="307"/>
      <c r="O4" s="307"/>
      <c r="AI4" s="284" t="str">
        <f t="shared" si="0"/>
        <v>Ergänzngsprüfung 2. Fremdsprache</v>
      </c>
      <c r="AJ4" s="289" t="str">
        <f t="shared" si="0"/>
        <v/>
      </c>
      <c r="AK4" s="289"/>
      <c r="AL4" s="99"/>
      <c r="AM4" s="281"/>
    </row>
    <row r="5" spans="1:39">
      <c r="D5" s="308" t="s">
        <v>164</v>
      </c>
      <c r="E5" s="308"/>
      <c r="F5" s="308"/>
      <c r="G5" s="308"/>
      <c r="H5" s="308"/>
      <c r="I5" s="308"/>
      <c r="J5" s="308"/>
      <c r="K5" s="308"/>
      <c r="R5" s="94">
        <f>MAX(R7:R24)</f>
        <v>1</v>
      </c>
      <c r="AE5" s="201">
        <f>SUM(AE7:AE25)</f>
        <v>0</v>
      </c>
      <c r="AF5" s="266">
        <f>COUNT(AF8:AF14)</f>
        <v>3</v>
      </c>
      <c r="AI5" s="212" t="s">
        <v>158</v>
      </c>
      <c r="AJ5" s="298">
        <f>D35</f>
        <v>165</v>
      </c>
      <c r="AK5" s="298"/>
      <c r="AL5" s="325" t="str">
        <f>F35</f>
        <v>von 420</v>
      </c>
      <c r="AM5" s="326"/>
    </row>
    <row r="6" spans="1:39">
      <c r="A6" s="93" t="s">
        <v>115</v>
      </c>
      <c r="C6" s="99"/>
      <c r="D6" s="153" t="s">
        <v>2</v>
      </c>
      <c r="E6" s="154"/>
      <c r="F6" s="153" t="s">
        <v>3</v>
      </c>
      <c r="G6" s="154"/>
      <c r="H6" s="100" t="s">
        <v>186</v>
      </c>
      <c r="I6" s="101" t="s">
        <v>136</v>
      </c>
      <c r="J6" s="100" t="s">
        <v>187</v>
      </c>
      <c r="K6" s="101" t="s">
        <v>136</v>
      </c>
      <c r="L6" s="100" t="s">
        <v>19</v>
      </c>
      <c r="M6" s="102" t="s">
        <v>20</v>
      </c>
      <c r="N6" s="103" t="s">
        <v>167</v>
      </c>
      <c r="O6" s="104" t="s">
        <v>153</v>
      </c>
      <c r="P6" s="105"/>
      <c r="Q6" s="106" t="s">
        <v>154</v>
      </c>
      <c r="R6" s="105" t="s">
        <v>148</v>
      </c>
      <c r="S6" s="105" t="s">
        <v>153</v>
      </c>
      <c r="T6" s="105"/>
      <c r="U6" s="94" t="s">
        <v>190</v>
      </c>
      <c r="V6" s="107" t="s">
        <v>2</v>
      </c>
      <c r="W6" s="108"/>
      <c r="X6" s="107" t="s">
        <v>3</v>
      </c>
      <c r="Y6" s="108"/>
      <c r="Z6" s="107" t="s">
        <v>186</v>
      </c>
      <c r="AA6" s="108"/>
      <c r="AB6" s="107" t="s">
        <v>187</v>
      </c>
      <c r="AC6" s="108"/>
      <c r="AD6" s="109" t="s">
        <v>147</v>
      </c>
      <c r="AE6" s="198" t="s">
        <v>178</v>
      </c>
      <c r="AF6" s="275" t="s">
        <v>197</v>
      </c>
      <c r="AI6" s="212" t="s">
        <v>23</v>
      </c>
      <c r="AJ6" s="322" t="str">
        <f>D36</f>
        <v/>
      </c>
      <c r="AK6" s="322"/>
      <c r="AL6" s="327">
        <f>F36</f>
        <v>3.7023809523809526</v>
      </c>
      <c r="AM6" s="328"/>
    </row>
    <row r="7" spans="1:39">
      <c r="A7" s="94">
        <v>1</v>
      </c>
      <c r="B7" s="94"/>
      <c r="C7" s="110" t="s">
        <v>4</v>
      </c>
      <c r="D7" s="60"/>
      <c r="E7" s="111"/>
      <c r="F7" s="61"/>
      <c r="G7" s="112"/>
      <c r="H7" s="39">
        <v>12</v>
      </c>
      <c r="I7" s="12"/>
      <c r="J7" s="13">
        <v>10</v>
      </c>
      <c r="K7" s="23"/>
      <c r="L7" s="21"/>
      <c r="M7" s="22"/>
      <c r="N7" s="45"/>
      <c r="O7" s="42">
        <f>IF(AND(ISERROR(S7),ISERROR(T7)),"",IF(ISNUMBER(S7),ROUND(S7,0),ROUND(T7,0)))</f>
        <v>11</v>
      </c>
      <c r="P7" s="1"/>
      <c r="Q7" s="1">
        <f t="shared" ref="Q7:Q25" si="1">IF(A7=1,O7,"")</f>
        <v>11</v>
      </c>
      <c r="R7" s="94">
        <f>COUNTIF(D7:K7,"x")</f>
        <v>0</v>
      </c>
      <c r="S7" s="93">
        <f>IF(AVERAGE(V7:AB7)&lt;1,0,AVERAGE(V7:AB7))</f>
        <v>11</v>
      </c>
      <c r="T7" s="94">
        <f>IF(AVERAGE(D7:J7)&lt;1,0,AVERAGE(D7:J7))</f>
        <v>11</v>
      </c>
      <c r="V7" s="251" t="str">
        <f t="shared" ref="V7:V23" si="2">IF(AND(ISNUMBER(D7),E7="",$A7=1),D7,"")</f>
        <v/>
      </c>
      <c r="W7" s="251"/>
      <c r="X7" s="251" t="str">
        <f t="shared" ref="X7:X23" si="3">IF(AND(ISNUMBER(F7),G7="",$A7=1),F7,"")</f>
        <v/>
      </c>
      <c r="Y7" s="251"/>
      <c r="Z7" s="251">
        <f t="shared" ref="Z7:Z23" si="4">IF(AND(ISNUMBER(H7),I7="",$A7=1),H7,"")</f>
        <v>12</v>
      </c>
      <c r="AA7" s="251"/>
      <c r="AB7" s="251">
        <f t="shared" ref="AB7:AB23" si="5">IF(AND(ISNUMBER(J7),K7="",$A7=1),J7,"")</f>
        <v>10</v>
      </c>
      <c r="AC7" s="251"/>
      <c r="AD7" s="113">
        <f>COUNT(V7:AB7)</f>
        <v>2</v>
      </c>
      <c r="AE7" s="113" t="str">
        <f>IF(Q7="","",IF(Q7&lt;4,IF(Q7=0,2,1),""))</f>
        <v/>
      </c>
      <c r="AF7" s="269"/>
      <c r="AI7" s="282" t="str">
        <f>C37</f>
        <v>Abitur (allgemein)</v>
      </c>
      <c r="AJ7" s="298" t="str">
        <f>D37</f>
        <v>nicht bestanden</v>
      </c>
      <c r="AK7" s="298"/>
      <c r="AL7" s="298"/>
      <c r="AM7" s="281"/>
    </row>
    <row r="8" spans="1:39">
      <c r="A8" s="94">
        <v>1</v>
      </c>
      <c r="B8" s="94"/>
      <c r="C8" s="114" t="s">
        <v>5</v>
      </c>
      <c r="D8" s="4"/>
      <c r="E8" s="115"/>
      <c r="F8" s="155"/>
      <c r="G8" s="115"/>
      <c r="H8" s="33">
        <v>4</v>
      </c>
      <c r="I8" s="7" t="s">
        <v>136</v>
      </c>
      <c r="J8" s="8">
        <v>4</v>
      </c>
      <c r="K8" s="7"/>
      <c r="L8" s="9">
        <v>8</v>
      </c>
      <c r="M8" s="5">
        <v>8</v>
      </c>
      <c r="N8" s="116">
        <f>IF(ISBLANK(L8),"",IF(ISBLANK(M8),L8,IF((L8*2+M8)/3&lt;1,0,ROUND((L8*2+M8)/3,0))))</f>
        <v>8</v>
      </c>
      <c r="O8" s="43">
        <f>IF(ISBLANK(L8),"",IF(AND(ISERROR(S8),ISERROR(T8)),"",IF(ISNUMBER(S8),ROUND(S8,0),ROUND(T8,0))))</f>
        <v>7</v>
      </c>
      <c r="P8" s="1"/>
      <c r="Q8" s="1">
        <f t="shared" si="1"/>
        <v>7</v>
      </c>
      <c r="R8" s="94">
        <f t="shared" ref="R8:R23" si="6">COUNTIF(D8:K8,"x")</f>
        <v>1</v>
      </c>
      <c r="S8" s="117">
        <f>IF((2*N8+SUM(V8:AB8))/(AD8+2)&lt;1,0,(2*N8+SUM(V8:AB8))/(AD8+2))</f>
        <v>6.666666666666667</v>
      </c>
      <c r="T8" s="94">
        <f t="shared" ref="T8:T14" si="7">AVERAGE(D8:J8)</f>
        <v>4</v>
      </c>
      <c r="V8" s="251" t="str">
        <f t="shared" si="2"/>
        <v/>
      </c>
      <c r="W8" s="251"/>
      <c r="X8" s="251" t="str">
        <f t="shared" si="3"/>
        <v/>
      </c>
      <c r="Y8" s="251"/>
      <c r="Z8" s="251" t="str">
        <f t="shared" si="4"/>
        <v/>
      </c>
      <c r="AA8" s="251"/>
      <c r="AB8" s="251">
        <f t="shared" si="5"/>
        <v>4</v>
      </c>
      <c r="AC8" s="251"/>
      <c r="AD8" s="113">
        <f t="shared" ref="AD8:AD23" si="8">COUNT(V8:AB8)</f>
        <v>1</v>
      </c>
      <c r="AE8" s="113"/>
      <c r="AF8" s="269">
        <f>IF(M8="","",M8)</f>
        <v>8</v>
      </c>
      <c r="AI8" s="283" t="s">
        <v>171</v>
      </c>
      <c r="AJ8" s="299"/>
      <c r="AK8" s="299"/>
      <c r="AL8" s="299"/>
      <c r="AM8" s="323"/>
    </row>
    <row r="9" spans="1:39">
      <c r="A9" s="94">
        <v>1</v>
      </c>
      <c r="B9" s="94"/>
      <c r="C9" s="114" t="s">
        <v>6</v>
      </c>
      <c r="D9" s="4"/>
      <c r="E9" s="115"/>
      <c r="F9" s="155"/>
      <c r="G9" s="115"/>
      <c r="H9" s="33">
        <v>4</v>
      </c>
      <c r="I9" s="7"/>
      <c r="J9" s="8">
        <v>4</v>
      </c>
      <c r="K9" s="7"/>
      <c r="L9" s="9">
        <v>12</v>
      </c>
      <c r="M9" s="5">
        <v>4</v>
      </c>
      <c r="N9" s="116">
        <f>IF(ISBLANK(L9),"",IF(ISBLANK(M9),L9,IF((L9*2+M9)/3&lt;1,0,ROUND((L9*2+M9)/3,0))))</f>
        <v>9</v>
      </c>
      <c r="O9" s="43">
        <f t="shared" ref="O9:O10" si="9">IF(ISBLANK(L9),"",IF(AND(ISERROR(S9),ISERROR(T9)),"",IF(ISNUMBER(S9),ROUND(S9,0),ROUND(T9,0))))</f>
        <v>7</v>
      </c>
      <c r="P9" s="1"/>
      <c r="Q9" s="1">
        <f t="shared" si="1"/>
        <v>7</v>
      </c>
      <c r="R9" s="94">
        <f t="shared" si="6"/>
        <v>0</v>
      </c>
      <c r="S9" s="117">
        <f t="shared" ref="S9:S10" si="10">IF((2*N9+SUM(V9:AB9))/(AD9+2)&lt;1,0,(2*N9+SUM(V9:AB9))/(AD9+2))</f>
        <v>6.5</v>
      </c>
      <c r="T9" s="94">
        <f t="shared" si="7"/>
        <v>4</v>
      </c>
      <c r="V9" s="251" t="str">
        <f t="shared" si="2"/>
        <v/>
      </c>
      <c r="W9" s="251"/>
      <c r="X9" s="251" t="str">
        <f t="shared" si="3"/>
        <v/>
      </c>
      <c r="Y9" s="251"/>
      <c r="Z9" s="251">
        <f t="shared" si="4"/>
        <v>4</v>
      </c>
      <c r="AA9" s="251"/>
      <c r="AB9" s="251">
        <f t="shared" si="5"/>
        <v>4</v>
      </c>
      <c r="AC9" s="251"/>
      <c r="AD9" s="113">
        <f t="shared" si="8"/>
        <v>2</v>
      </c>
      <c r="AE9" s="113"/>
      <c r="AF9" s="269">
        <f t="shared" ref="AF9:AF14" si="11">IF(M9="","",M9)</f>
        <v>4</v>
      </c>
      <c r="AI9" s="210" t="str">
        <f>C40</f>
        <v>Prüfungsergebnisse</v>
      </c>
      <c r="AJ9" s="289" t="str">
        <f>D40</f>
        <v>erfüllt</v>
      </c>
      <c r="AK9" s="289"/>
      <c r="AL9" s="160" t="s">
        <v>182</v>
      </c>
      <c r="AM9" s="230">
        <f>N39</f>
        <v>0</v>
      </c>
    </row>
    <row r="10" spans="1:39" ht="16.5" thickBot="1">
      <c r="A10" s="94">
        <v>1</v>
      </c>
      <c r="B10" s="94"/>
      <c r="C10" s="114" t="s">
        <v>9</v>
      </c>
      <c r="D10" s="4"/>
      <c r="E10" s="115"/>
      <c r="F10" s="155"/>
      <c r="G10" s="115"/>
      <c r="H10" s="33">
        <v>4</v>
      </c>
      <c r="I10" s="7"/>
      <c r="J10" s="8">
        <v>4</v>
      </c>
      <c r="K10" s="7"/>
      <c r="L10" s="9">
        <v>10</v>
      </c>
      <c r="M10" s="5"/>
      <c r="N10" s="116">
        <f>IF(ISBLANK(L10),"",IF(ISBLANK(M10),L10,IF((L10*2+M10)/3&lt;1,0,ROUND((L10*2+M10)/3,0))))</f>
        <v>10</v>
      </c>
      <c r="O10" s="43">
        <f t="shared" si="9"/>
        <v>7</v>
      </c>
      <c r="P10" s="1"/>
      <c r="Q10" s="1">
        <f t="shared" si="1"/>
        <v>7</v>
      </c>
      <c r="R10" s="94">
        <f t="shared" si="6"/>
        <v>0</v>
      </c>
      <c r="S10" s="117">
        <f t="shared" si="10"/>
        <v>7</v>
      </c>
      <c r="T10" s="94">
        <f t="shared" si="7"/>
        <v>4</v>
      </c>
      <c r="V10" s="251" t="str">
        <f t="shared" si="2"/>
        <v/>
      </c>
      <c r="W10" s="251"/>
      <c r="X10" s="251" t="str">
        <f t="shared" si="3"/>
        <v/>
      </c>
      <c r="Y10" s="251"/>
      <c r="Z10" s="251">
        <f t="shared" si="4"/>
        <v>4</v>
      </c>
      <c r="AA10" s="251"/>
      <c r="AB10" s="251">
        <f t="shared" si="5"/>
        <v>4</v>
      </c>
      <c r="AC10" s="251"/>
      <c r="AD10" s="113">
        <f t="shared" si="8"/>
        <v>2</v>
      </c>
      <c r="AE10" s="113"/>
      <c r="AF10" s="269" t="str">
        <f t="shared" si="11"/>
        <v/>
      </c>
      <c r="AI10" s="218" t="str">
        <f>C41</f>
        <v>Gesamtergebnisse</v>
      </c>
      <c r="AJ10" s="318" t="str">
        <f>D41</f>
        <v>erfüllt</v>
      </c>
      <c r="AK10" s="318"/>
      <c r="AL10" s="219" t="s">
        <v>182</v>
      </c>
      <c r="AM10" s="220">
        <f>M39</f>
        <v>0</v>
      </c>
    </row>
    <row r="11" spans="1:39" hidden="1">
      <c r="A11" s="156"/>
      <c r="B11" s="156"/>
      <c r="C11" s="157"/>
      <c r="D11" s="158"/>
      <c r="E11" s="115"/>
      <c r="F11" s="155"/>
      <c r="G11" s="115"/>
      <c r="H11" s="173"/>
      <c r="I11" s="7"/>
      <c r="J11" s="174"/>
      <c r="K11" s="7"/>
      <c r="L11" s="69"/>
      <c r="M11" s="70"/>
      <c r="N11" s="118"/>
      <c r="O11" s="71"/>
      <c r="P11" s="1"/>
      <c r="Q11" s="1"/>
      <c r="R11" s="156"/>
      <c r="S11" s="159"/>
      <c r="T11" s="156"/>
      <c r="U11" s="156"/>
      <c r="V11" s="160"/>
      <c r="W11" s="160"/>
      <c r="X11" s="160"/>
      <c r="Y11" s="160"/>
      <c r="Z11" s="160"/>
      <c r="AA11" s="160"/>
      <c r="AB11" s="160"/>
      <c r="AC11" s="160"/>
      <c r="AD11" s="161"/>
      <c r="AE11" s="113"/>
      <c r="AF11" s="269"/>
      <c r="AI11" s="204"/>
      <c r="AJ11" s="94"/>
      <c r="AK11" s="205"/>
      <c r="AL11" s="94"/>
    </row>
    <row r="12" spans="1:39">
      <c r="A12" s="94">
        <v>1</v>
      </c>
      <c r="B12" s="94"/>
      <c r="C12" s="119" t="s">
        <v>162</v>
      </c>
      <c r="D12" s="64"/>
      <c r="E12" s="120"/>
      <c r="F12" s="65"/>
      <c r="G12" s="120"/>
      <c r="H12" s="40">
        <v>12</v>
      </c>
      <c r="I12" s="16"/>
      <c r="J12" s="18">
        <v>10</v>
      </c>
      <c r="K12" s="16"/>
      <c r="L12" s="19"/>
      <c r="M12" s="20"/>
      <c r="N12" s="121"/>
      <c r="O12" s="44">
        <f t="shared" ref="O12:O23" si="12">IF(AND(ISERROR(S12),ISERROR(T12)),"",IF(ISNUMBER(S12),ROUND(S12,0),ROUND(T12,0)))</f>
        <v>11</v>
      </c>
      <c r="P12" s="1"/>
      <c r="Q12" s="1">
        <f t="shared" si="1"/>
        <v>11</v>
      </c>
      <c r="R12" s="94">
        <f t="shared" si="6"/>
        <v>0</v>
      </c>
      <c r="S12" s="93">
        <f>IF(AVERAGE(V12:AB12)&lt;1,0,AVERAGE(V12:AB12))</f>
        <v>11</v>
      </c>
      <c r="T12" s="94">
        <f>IF(AVERAGE(D12:J12)&lt;1,0,AVERAGE(D12:J12))</f>
        <v>11</v>
      </c>
      <c r="V12" s="251" t="str">
        <f t="shared" si="2"/>
        <v/>
      </c>
      <c r="W12" s="251"/>
      <c r="X12" s="251" t="str">
        <f t="shared" si="3"/>
        <v/>
      </c>
      <c r="Y12" s="251"/>
      <c r="Z12" s="251">
        <f t="shared" si="4"/>
        <v>12</v>
      </c>
      <c r="AA12" s="251"/>
      <c r="AB12" s="251">
        <f t="shared" si="5"/>
        <v>10</v>
      </c>
      <c r="AC12" s="251"/>
      <c r="AD12" s="113">
        <f t="shared" si="8"/>
        <v>2</v>
      </c>
      <c r="AE12" s="113" t="str">
        <f t="shared" ref="AE12:AE25" si="13">IF(Q12="","",IF(Q12&lt;4,IF(Q12=0,2,1),""))</f>
        <v/>
      </c>
      <c r="AF12" s="269"/>
      <c r="AI12" s="287" t="s">
        <v>160</v>
      </c>
      <c r="AJ12" s="287"/>
      <c r="AK12" s="287"/>
      <c r="AL12" s="287"/>
      <c r="AM12" s="287"/>
    </row>
    <row r="13" spans="1:39" s="159" customFormat="1" hidden="1">
      <c r="A13" s="156"/>
      <c r="B13" s="156"/>
      <c r="C13" s="162"/>
      <c r="D13" s="77"/>
      <c r="E13" s="163"/>
      <c r="F13" s="79"/>
      <c r="G13" s="163"/>
      <c r="H13" s="91"/>
      <c r="I13" s="90"/>
      <c r="J13" s="92"/>
      <c r="K13" s="90"/>
      <c r="L13" s="80"/>
      <c r="M13" s="81"/>
      <c r="N13" s="164"/>
      <c r="O13" s="83"/>
      <c r="P13" s="1"/>
      <c r="Q13" s="1"/>
      <c r="R13" s="156"/>
      <c r="T13" s="156"/>
      <c r="U13" s="156"/>
      <c r="V13" s="160"/>
      <c r="W13" s="160"/>
      <c r="X13" s="160"/>
      <c r="Y13" s="160"/>
      <c r="Z13" s="160"/>
      <c r="AA13" s="160"/>
      <c r="AB13" s="160"/>
      <c r="AC13" s="160"/>
      <c r="AD13" s="161"/>
      <c r="AE13" s="113"/>
      <c r="AF13" s="269"/>
      <c r="AH13" s="156"/>
      <c r="AI13" s="156"/>
    </row>
    <row r="14" spans="1:39">
      <c r="A14" s="94">
        <f>IF(C14="-",0,1)</f>
        <v>1</v>
      </c>
      <c r="B14" s="94"/>
      <c r="C14" s="122" t="str">
        <f>VLOOKUP($D$4,Hinweise!$G$23:$N$29,3,FALSE)</f>
        <v>Päd./Psy.</v>
      </c>
      <c r="D14" s="60"/>
      <c r="E14" s="111"/>
      <c r="F14" s="165"/>
      <c r="G14" s="111"/>
      <c r="H14" s="39">
        <v>4</v>
      </c>
      <c r="I14" s="12"/>
      <c r="J14" s="13">
        <v>4</v>
      </c>
      <c r="K14" s="12"/>
      <c r="L14" s="14">
        <v>5</v>
      </c>
      <c r="M14" s="15">
        <v>5</v>
      </c>
      <c r="N14" s="123">
        <f>IF(ISBLANK(L14),"",IF(ISBLANK(M14),L14,IF((L14*2+M14)/3&lt;1,0,ROUND((L14*2+M14)/3,0))))</f>
        <v>5</v>
      </c>
      <c r="O14" s="42">
        <f>IF(ISBLANK(L14),"",IF(AND(ISERROR(S14),ISERROR(T14)),"",IF(ISNUMBER(S14),ROUND(S14,0),ROUND(T14,0))))</f>
        <v>5</v>
      </c>
      <c r="P14" s="1"/>
      <c r="Q14" s="1">
        <f t="shared" si="1"/>
        <v>5</v>
      </c>
      <c r="R14" s="94">
        <f t="shared" si="6"/>
        <v>0</v>
      </c>
      <c r="S14" s="117">
        <f t="shared" ref="S14" si="14">IF((2*N14+SUM(V14:AB14))/(AD14+2)&lt;1,0,(2*N14+SUM(V14:AB14))/(AD14+2))</f>
        <v>4.5</v>
      </c>
      <c r="T14" s="94">
        <f t="shared" si="7"/>
        <v>4</v>
      </c>
      <c r="V14" s="251" t="str">
        <f t="shared" si="2"/>
        <v/>
      </c>
      <c r="W14" s="251"/>
      <c r="X14" s="251" t="str">
        <f t="shared" si="3"/>
        <v/>
      </c>
      <c r="Y14" s="251"/>
      <c r="Z14" s="251">
        <f t="shared" si="4"/>
        <v>4</v>
      </c>
      <c r="AA14" s="251"/>
      <c r="AB14" s="251">
        <f t="shared" si="5"/>
        <v>4</v>
      </c>
      <c r="AC14" s="251"/>
      <c r="AD14" s="113">
        <f t="shared" si="8"/>
        <v>2</v>
      </c>
      <c r="AE14" s="113"/>
      <c r="AF14" s="269">
        <f t="shared" si="11"/>
        <v>5</v>
      </c>
    </row>
    <row r="15" spans="1:39">
      <c r="A15" s="94">
        <f t="shared" ref="A15:A21" si="15">IF(C15="-",0,1)</f>
        <v>1</v>
      </c>
      <c r="B15" s="94"/>
      <c r="C15" s="122" t="str">
        <f>VLOOKUP($D$4,Hinweise!$G$23:$N$29,4,FALSE)</f>
        <v>Sozialwirtschaft und Recht</v>
      </c>
      <c r="D15" s="4"/>
      <c r="E15" s="115"/>
      <c r="F15" s="155"/>
      <c r="G15" s="115"/>
      <c r="H15" s="33">
        <v>3</v>
      </c>
      <c r="I15" s="7"/>
      <c r="J15" s="8">
        <v>4</v>
      </c>
      <c r="K15" s="7"/>
      <c r="L15" s="10"/>
      <c r="M15" s="6"/>
      <c r="N15" s="46"/>
      <c r="O15" s="43">
        <f t="shared" si="12"/>
        <v>4</v>
      </c>
      <c r="P15" s="1"/>
      <c r="Q15" s="1">
        <f t="shared" si="1"/>
        <v>4</v>
      </c>
      <c r="R15" s="94">
        <f t="shared" si="6"/>
        <v>0</v>
      </c>
      <c r="S15" s="93">
        <f>IF(AVERAGE(V15:AB15)&lt;1,0,AVERAGE(V15:AB15))</f>
        <v>3.5</v>
      </c>
      <c r="T15" s="94">
        <f>IF(AVERAGE(D15:J15)&lt;1,0,AVERAGE(D15:J15))</f>
        <v>3.5</v>
      </c>
      <c r="U15" s="94">
        <f>IF(AND((_xlfn.NUMBERVALUE(AB15)&gt;=4),(O15&gt;=4),(AD15=2),(C15="Franz./Span.")),1,0)</f>
        <v>0</v>
      </c>
      <c r="V15" s="251" t="str">
        <f t="shared" si="2"/>
        <v/>
      </c>
      <c r="W15" s="251"/>
      <c r="X15" s="251" t="str">
        <f t="shared" si="3"/>
        <v/>
      </c>
      <c r="Y15" s="251"/>
      <c r="Z15" s="251">
        <f t="shared" si="4"/>
        <v>3</v>
      </c>
      <c r="AA15" s="251"/>
      <c r="AB15" s="251">
        <f t="shared" si="5"/>
        <v>4</v>
      </c>
      <c r="AC15" s="251"/>
      <c r="AD15" s="113">
        <f t="shared" si="8"/>
        <v>2</v>
      </c>
      <c r="AE15" s="113" t="str">
        <f t="shared" si="13"/>
        <v/>
      </c>
    </row>
    <row r="16" spans="1:39" hidden="1">
      <c r="A16" s="94"/>
      <c r="B16" s="94"/>
      <c r="C16" s="124"/>
      <c r="D16" s="4"/>
      <c r="E16" s="115"/>
      <c r="F16" s="125"/>
      <c r="G16" s="115"/>
      <c r="H16" s="63"/>
      <c r="I16" s="7"/>
      <c r="J16" s="62"/>
      <c r="K16" s="7"/>
      <c r="L16" s="10"/>
      <c r="M16" s="6"/>
      <c r="N16" s="46"/>
      <c r="O16" s="43"/>
      <c r="P16" s="1"/>
      <c r="Q16" s="1"/>
      <c r="S16" s="93"/>
      <c r="V16" s="251"/>
      <c r="W16" s="251"/>
      <c r="X16" s="251"/>
      <c r="Y16" s="251"/>
      <c r="Z16" s="251"/>
      <c r="AA16" s="251"/>
      <c r="AB16" s="251"/>
      <c r="AC16" s="251"/>
      <c r="AD16" s="113"/>
      <c r="AE16" s="113" t="str">
        <f t="shared" si="13"/>
        <v/>
      </c>
    </row>
    <row r="17" spans="1:39" hidden="1">
      <c r="A17" s="94"/>
      <c r="B17" s="94"/>
      <c r="C17" s="124"/>
      <c r="D17" s="158"/>
      <c r="E17" s="115"/>
      <c r="F17" s="155"/>
      <c r="G17" s="115"/>
      <c r="H17" s="173"/>
      <c r="I17" s="7"/>
      <c r="J17" s="174"/>
      <c r="K17" s="7"/>
      <c r="L17" s="10"/>
      <c r="M17" s="6"/>
      <c r="N17" s="46"/>
      <c r="O17" s="43"/>
      <c r="P17" s="1"/>
      <c r="Q17" s="1"/>
      <c r="S17" s="93"/>
      <c r="V17" s="251"/>
      <c r="W17" s="251"/>
      <c r="X17" s="251"/>
      <c r="Y17" s="251"/>
      <c r="Z17" s="251"/>
      <c r="AA17" s="251"/>
      <c r="AB17" s="251"/>
      <c r="AC17" s="251"/>
      <c r="AD17" s="113"/>
      <c r="AE17" s="113" t="str">
        <f t="shared" si="13"/>
        <v/>
      </c>
    </row>
    <row r="18" spans="1:39" hidden="1">
      <c r="A18" s="94"/>
      <c r="B18" s="94"/>
      <c r="C18" s="124"/>
      <c r="D18" s="126"/>
      <c r="E18" s="115"/>
      <c r="F18" s="155"/>
      <c r="G18" s="115"/>
      <c r="H18" s="63"/>
      <c r="I18" s="7"/>
      <c r="J18" s="62"/>
      <c r="K18" s="7"/>
      <c r="L18" s="10"/>
      <c r="M18" s="6"/>
      <c r="N18" s="46"/>
      <c r="O18" s="43"/>
      <c r="P18" s="1"/>
      <c r="Q18" s="1"/>
      <c r="S18" s="93"/>
      <c r="V18" s="251"/>
      <c r="W18" s="251"/>
      <c r="X18" s="251"/>
      <c r="Y18" s="251"/>
      <c r="Z18" s="251"/>
      <c r="AA18" s="251"/>
      <c r="AB18" s="251"/>
      <c r="AC18" s="251"/>
      <c r="AD18" s="113"/>
      <c r="AE18" s="113" t="str">
        <f t="shared" si="13"/>
        <v/>
      </c>
    </row>
    <row r="19" spans="1:39" hidden="1">
      <c r="A19" s="94"/>
      <c r="B19" s="94"/>
      <c r="C19" s="124"/>
      <c r="D19" s="4"/>
      <c r="E19" s="115"/>
      <c r="F19" s="155"/>
      <c r="G19" s="115"/>
      <c r="H19" s="63"/>
      <c r="I19" s="7"/>
      <c r="J19" s="62"/>
      <c r="K19" s="7"/>
      <c r="L19" s="10"/>
      <c r="M19" s="6"/>
      <c r="N19" s="46"/>
      <c r="O19" s="43"/>
      <c r="P19" s="1"/>
      <c r="Q19" s="1"/>
      <c r="S19" s="93"/>
      <c r="V19" s="251"/>
      <c r="W19" s="251"/>
      <c r="X19" s="251"/>
      <c r="Y19" s="251"/>
      <c r="Z19" s="251"/>
      <c r="AA19" s="251"/>
      <c r="AB19" s="251"/>
      <c r="AC19" s="251"/>
      <c r="AD19" s="113"/>
      <c r="AE19" s="113" t="str">
        <f t="shared" si="13"/>
        <v/>
      </c>
    </row>
    <row r="20" spans="1:39">
      <c r="A20" s="94">
        <f t="shared" si="15"/>
        <v>1</v>
      </c>
      <c r="B20" s="94"/>
      <c r="C20" s="122" t="str">
        <f>VLOOKUP($D$4,Hinweise!$G$23:$N$29,5,FALSE)</f>
        <v>Biologie</v>
      </c>
      <c r="D20" s="4"/>
      <c r="E20" s="115"/>
      <c r="F20" s="3"/>
      <c r="G20" s="115"/>
      <c r="H20" s="33">
        <v>1</v>
      </c>
      <c r="I20" s="7" t="s">
        <v>136</v>
      </c>
      <c r="J20" s="8">
        <v>4</v>
      </c>
      <c r="K20" s="7"/>
      <c r="L20" s="10"/>
      <c r="M20" s="6"/>
      <c r="N20" s="46"/>
      <c r="O20" s="43">
        <f t="shared" si="12"/>
        <v>4</v>
      </c>
      <c r="P20" s="1"/>
      <c r="Q20" s="1">
        <f t="shared" si="1"/>
        <v>4</v>
      </c>
      <c r="R20" s="94">
        <f t="shared" si="6"/>
        <v>1</v>
      </c>
      <c r="S20" s="93">
        <f>IF(AVERAGE(V20:AB20)&lt;1,0,AVERAGE(V20:AB20))</f>
        <v>4</v>
      </c>
      <c r="T20" s="94">
        <f>IF(AVERAGE(D20:J20)&lt;1,0,AVERAGE(D20:J20))</f>
        <v>2.5</v>
      </c>
      <c r="V20" s="251" t="str">
        <f t="shared" si="2"/>
        <v/>
      </c>
      <c r="W20" s="251"/>
      <c r="X20" s="251" t="str">
        <f t="shared" si="3"/>
        <v/>
      </c>
      <c r="Y20" s="251"/>
      <c r="Z20" s="251" t="str">
        <f t="shared" si="4"/>
        <v/>
      </c>
      <c r="AA20" s="251"/>
      <c r="AB20" s="251">
        <f t="shared" si="5"/>
        <v>4</v>
      </c>
      <c r="AC20" s="251"/>
      <c r="AD20" s="113">
        <f t="shared" si="8"/>
        <v>1</v>
      </c>
      <c r="AE20" s="113" t="str">
        <f t="shared" si="13"/>
        <v/>
      </c>
    </row>
    <row r="21" spans="1:39" hidden="1">
      <c r="A21" s="94">
        <f t="shared" si="15"/>
        <v>1</v>
      </c>
      <c r="B21" s="94"/>
      <c r="C21" s="122"/>
      <c r="D21" s="66"/>
      <c r="E21" s="128"/>
      <c r="F21" s="67"/>
      <c r="G21" s="128"/>
      <c r="H21" s="63"/>
      <c r="I21" s="49"/>
      <c r="J21" s="63"/>
      <c r="K21" s="49"/>
      <c r="L21" s="52"/>
      <c r="M21" s="53"/>
      <c r="N21" s="54"/>
      <c r="O21" s="55"/>
      <c r="P21" s="1"/>
      <c r="Q21" s="1"/>
      <c r="S21" s="93"/>
      <c r="V21" s="251"/>
      <c r="W21" s="251"/>
      <c r="X21" s="251"/>
      <c r="Y21" s="251"/>
      <c r="Z21" s="251"/>
      <c r="AA21" s="251"/>
      <c r="AB21" s="251"/>
      <c r="AC21" s="251"/>
      <c r="AD21" s="113"/>
      <c r="AE21" s="113" t="str">
        <f t="shared" si="13"/>
        <v/>
      </c>
    </row>
    <row r="22" spans="1:39">
      <c r="A22" s="94">
        <f>IF(OR(C22="-",VLOOKUP(C22,Hinweise!$C$6:$D$37,2,FALSE)=0),0,1)</f>
        <v>1</v>
      </c>
      <c r="B22" s="94"/>
      <c r="C22" s="37" t="s">
        <v>44</v>
      </c>
      <c r="D22" s="68"/>
      <c r="E22" s="112"/>
      <c r="F22" s="61"/>
      <c r="G22" s="112"/>
      <c r="H22" s="41">
        <v>4</v>
      </c>
      <c r="I22" s="23"/>
      <c r="J22" s="25">
        <v>4</v>
      </c>
      <c r="K22" s="23"/>
      <c r="L22" s="26"/>
      <c r="M22" s="27"/>
      <c r="N22" s="45"/>
      <c r="O22" s="56">
        <f t="shared" si="12"/>
        <v>4</v>
      </c>
      <c r="P22" s="1"/>
      <c r="Q22" s="1">
        <f t="shared" si="1"/>
        <v>4</v>
      </c>
      <c r="R22" s="94">
        <f t="shared" si="6"/>
        <v>0</v>
      </c>
      <c r="S22" s="93">
        <f t="shared" ref="S22:S23" si="16">IF(AVERAGE(V22:AB22)&lt;1,0,AVERAGE(V22:AB22))</f>
        <v>4</v>
      </c>
      <c r="T22" s="94">
        <f t="shared" ref="T22:T23" si="17">IF(AVERAGE(D22:J22)&lt;1,0,AVERAGE(D22:J22))</f>
        <v>4</v>
      </c>
      <c r="U22" s="94">
        <f>IF(AND((_xlfn.NUMBERVALUE(AB22)&gt;=4),(O22&gt;=4),(AD22=2),(OR(C22="Spanisch (fortgeführt)",C22="Französisch (fortgeführt)"))),1,0)</f>
        <v>0</v>
      </c>
      <c r="V22" s="251" t="str">
        <f t="shared" si="2"/>
        <v/>
      </c>
      <c r="W22" s="251"/>
      <c r="X22" s="251" t="str">
        <f t="shared" si="3"/>
        <v/>
      </c>
      <c r="Y22" s="251"/>
      <c r="Z22" s="251">
        <f t="shared" si="4"/>
        <v>4</v>
      </c>
      <c r="AA22" s="251"/>
      <c r="AB22" s="251">
        <f t="shared" si="5"/>
        <v>4</v>
      </c>
      <c r="AC22" s="251"/>
      <c r="AD22" s="113">
        <f t="shared" si="8"/>
        <v>2</v>
      </c>
      <c r="AE22" s="113" t="str">
        <f t="shared" si="13"/>
        <v/>
      </c>
    </row>
    <row r="23" spans="1:39">
      <c r="A23" s="94">
        <f>IF(OR(C23="-",VLOOKUP(C23,Hinweise!$C$6:$D$37,2,FALSE)=0),0,1)</f>
        <v>0</v>
      </c>
      <c r="B23" s="94"/>
      <c r="C23" s="38" t="s">
        <v>129</v>
      </c>
      <c r="D23" s="4"/>
      <c r="E23" s="115"/>
      <c r="F23" s="3"/>
      <c r="G23" s="115"/>
      <c r="H23" s="33"/>
      <c r="I23" s="7"/>
      <c r="J23" s="8"/>
      <c r="K23" s="7"/>
      <c r="L23" s="10"/>
      <c r="M23" s="6"/>
      <c r="N23" s="46"/>
      <c r="O23" s="43" t="str">
        <f t="shared" si="12"/>
        <v/>
      </c>
      <c r="P23" s="1"/>
      <c r="Q23" s="1" t="str">
        <f t="shared" si="1"/>
        <v/>
      </c>
      <c r="R23" s="94">
        <f t="shared" si="6"/>
        <v>0</v>
      </c>
      <c r="S23" s="93" t="e">
        <f t="shared" si="16"/>
        <v>#DIV/0!</v>
      </c>
      <c r="T23" s="94" t="e">
        <f t="shared" si="17"/>
        <v>#DIV/0!</v>
      </c>
      <c r="V23" s="251" t="str">
        <f t="shared" si="2"/>
        <v/>
      </c>
      <c r="W23" s="251"/>
      <c r="X23" s="251" t="str">
        <f t="shared" si="3"/>
        <v/>
      </c>
      <c r="Y23" s="251"/>
      <c r="Z23" s="251" t="str">
        <f t="shared" si="4"/>
        <v/>
      </c>
      <c r="AA23" s="251"/>
      <c r="AB23" s="251" t="str">
        <f t="shared" si="5"/>
        <v/>
      </c>
      <c r="AC23" s="251"/>
      <c r="AD23" s="113">
        <f t="shared" si="8"/>
        <v>0</v>
      </c>
      <c r="AE23" s="113" t="str">
        <f t="shared" si="13"/>
        <v/>
      </c>
    </row>
    <row r="24" spans="1:39" hidden="1">
      <c r="A24" s="156"/>
      <c r="B24" s="156"/>
      <c r="C24" s="166"/>
      <c r="D24" s="66"/>
      <c r="E24" s="128"/>
      <c r="F24" s="67"/>
      <c r="G24" s="128"/>
      <c r="H24" s="167"/>
      <c r="I24" s="128"/>
      <c r="J24" s="168"/>
      <c r="K24" s="169"/>
      <c r="L24" s="72"/>
      <c r="M24" s="73"/>
      <c r="N24" s="74"/>
      <c r="O24" s="75"/>
      <c r="P24" s="1"/>
      <c r="Q24" s="1"/>
      <c r="R24" s="156"/>
      <c r="S24" s="159"/>
      <c r="T24" s="156"/>
      <c r="U24" s="156"/>
      <c r="V24" s="160"/>
      <c r="W24" s="160"/>
      <c r="X24" s="160"/>
      <c r="Y24" s="160"/>
      <c r="Z24" s="160"/>
      <c r="AA24" s="160"/>
      <c r="AB24" s="160"/>
      <c r="AC24" s="160"/>
      <c r="AD24" s="161"/>
      <c r="AE24" s="113" t="str">
        <f t="shared" si="13"/>
        <v/>
      </c>
      <c r="AF24" s="159"/>
      <c r="AG24" s="159"/>
    </row>
    <row r="25" spans="1:39">
      <c r="A25" s="94">
        <v>1</v>
      </c>
      <c r="B25" s="94"/>
      <c r="C25" s="110" t="s">
        <v>184</v>
      </c>
      <c r="D25" s="84"/>
      <c r="E25" s="85"/>
      <c r="F25" s="84"/>
      <c r="G25" s="85"/>
      <c r="H25" s="319">
        <v>5</v>
      </c>
      <c r="I25" s="319"/>
      <c r="J25" s="319"/>
      <c r="K25" s="319"/>
      <c r="L25" s="86"/>
      <c r="M25" s="87"/>
      <c r="N25" s="88"/>
      <c r="O25" s="89">
        <f>IF(H25="","",H25)</f>
        <v>5</v>
      </c>
      <c r="P25" s="1"/>
      <c r="Q25" s="1">
        <f t="shared" si="1"/>
        <v>5</v>
      </c>
      <c r="S25" s="93"/>
      <c r="T25" s="94" t="str">
        <f t="shared" ref="T25" si="18">IF(A25=0,AVERAGE(D25:J25),"")</f>
        <v/>
      </c>
      <c r="V25" s="1"/>
      <c r="W25" s="1"/>
      <c r="X25" s="1"/>
      <c r="Y25" s="1"/>
      <c r="Z25" s="1"/>
      <c r="AA25" s="1"/>
      <c r="AB25" s="1"/>
      <c r="AC25" s="1"/>
      <c r="AD25" s="129">
        <f>SUM(AD7:AD24)</f>
        <v>16</v>
      </c>
      <c r="AE25" s="113" t="str">
        <f t="shared" si="13"/>
        <v/>
      </c>
    </row>
    <row r="26" spans="1:39" hidden="1">
      <c r="A26" s="156"/>
      <c r="B26" s="156"/>
      <c r="C26" s="170"/>
      <c r="D26" s="77"/>
      <c r="E26" s="76"/>
      <c r="F26" s="79"/>
      <c r="G26" s="76"/>
      <c r="H26" s="77"/>
      <c r="I26" s="78"/>
      <c r="J26" s="79"/>
      <c r="K26" s="78"/>
      <c r="L26" s="80"/>
      <c r="M26" s="81"/>
      <c r="N26" s="82"/>
      <c r="O26" s="83"/>
      <c r="P26" s="1"/>
      <c r="Q26" s="1"/>
      <c r="R26" s="156"/>
      <c r="S26" s="159"/>
      <c r="T26" s="156"/>
      <c r="U26" s="156"/>
      <c r="V26" s="1"/>
      <c r="W26" s="1"/>
      <c r="X26" s="1"/>
      <c r="Y26" s="1"/>
      <c r="Z26" s="1"/>
      <c r="AA26" s="1"/>
      <c r="AB26" s="1"/>
      <c r="AC26" s="1"/>
      <c r="AD26" s="171"/>
      <c r="AE26" s="171"/>
      <c r="AF26" s="159"/>
    </row>
    <row r="27" spans="1:39">
      <c r="C27" s="132" t="s">
        <v>159</v>
      </c>
      <c r="D27" s="310" t="s">
        <v>25</v>
      </c>
      <c r="E27" s="310"/>
      <c r="F27" s="310"/>
      <c r="G27" s="310"/>
      <c r="H27" s="310"/>
      <c r="I27" s="310"/>
      <c r="J27" s="310"/>
      <c r="K27" s="310"/>
      <c r="M27" s="274">
        <f>AF5</f>
        <v>3</v>
      </c>
    </row>
    <row r="28" spans="1:39">
      <c r="D28" s="311" t="str">
        <f>IF(OR(H25=0,AE5&gt;2),"Zur Prüfung nicht zugelassen","")</f>
        <v/>
      </c>
      <c r="E28" s="311"/>
      <c r="F28" s="311"/>
      <c r="G28" s="311"/>
      <c r="H28" s="311"/>
      <c r="I28" s="311"/>
      <c r="J28" s="311"/>
      <c r="K28" s="311"/>
    </row>
    <row r="29" spans="1:39">
      <c r="A29" s="94">
        <v>1</v>
      </c>
      <c r="C29" s="262" t="s">
        <v>198</v>
      </c>
      <c r="D29" s="297" t="str">
        <f>IF(N29="","unvollständig",IF(O29&lt;4,"nicht bestanden","bestanden"))</f>
        <v>unvollständig</v>
      </c>
      <c r="E29" s="298"/>
      <c r="F29" s="293"/>
      <c r="G29" s="297"/>
      <c r="H29" s="298"/>
      <c r="I29" s="254"/>
      <c r="J29" s="260"/>
      <c r="K29" s="260"/>
      <c r="L29" s="270">
        <v>4</v>
      </c>
      <c r="M29" s="270"/>
      <c r="N29" s="280" t="str">
        <f>IF(OR(ISBLANK(L29),ISBLANK(M29)),"",IF(ISBLANK(M29),L29,IF((L29*2+M29)/3&lt;1,0,ROUND((L29*2+M29)/3,0))))</f>
        <v/>
      </c>
      <c r="O29" s="215" t="str">
        <f>N29</f>
        <v/>
      </c>
      <c r="Q29" s="1" t="str">
        <f t="shared" ref="Q29" si="19">IF(A29=1,O29,"")</f>
        <v/>
      </c>
      <c r="R29" s="94">
        <f t="shared" ref="R29" si="20">COUNTIF(D29:K29,"x")</f>
        <v>0</v>
      </c>
      <c r="S29" s="93" t="e">
        <f t="shared" ref="S29" si="21">IF(AVERAGE(V29:AB29)&lt;1,0,AVERAGE(V29:AB29))</f>
        <v>#DIV/0!</v>
      </c>
      <c r="T29" s="94" t="e">
        <f t="shared" ref="T29" si="22">IF(AVERAGE(D29:J29)&lt;1,0,AVERAGE(D29:J29))</f>
        <v>#DIV/0!</v>
      </c>
      <c r="U29" s="94">
        <f>IF(AND(ISNUMBER(O29),O29&gt;=4),1,0)</f>
        <v>0</v>
      </c>
      <c r="V29" s="251" t="str">
        <f t="shared" ref="V29" si="23">IF(AND(ISNUMBER(D29),E29="",$A29=1),D29,"")</f>
        <v/>
      </c>
      <c r="W29" s="251"/>
      <c r="X29" s="251" t="str">
        <f t="shared" ref="X29" si="24">IF(AND(ISNUMBER(F29),G29="",$A29=1),F29,"")</f>
        <v/>
      </c>
      <c r="Y29" s="251"/>
      <c r="Z29" s="251"/>
      <c r="AA29" s="251"/>
      <c r="AB29" s="251"/>
      <c r="AC29" s="251"/>
      <c r="AD29" s="113">
        <f t="shared" ref="AD29" si="25">COUNT(V29:AB29)</f>
        <v>0</v>
      </c>
    </row>
    <row r="30" spans="1:39">
      <c r="D30" s="257"/>
      <c r="E30" s="257"/>
      <c r="F30" s="257"/>
      <c r="G30" s="257"/>
      <c r="H30" s="257"/>
      <c r="I30" s="257"/>
      <c r="J30" s="257"/>
      <c r="K30" s="257"/>
    </row>
    <row r="31" spans="1:39" s="94" customFormat="1">
      <c r="A31" s="93"/>
      <c r="B31" s="93"/>
      <c r="C31" s="133" t="s">
        <v>188</v>
      </c>
      <c r="D31" s="291">
        <f>2*SUM(N8:N14)</f>
        <v>64</v>
      </c>
      <c r="E31" s="292"/>
      <c r="F31" s="291" t="s">
        <v>174</v>
      </c>
      <c r="G31" s="292"/>
      <c r="H31" s="196">
        <f>U48</f>
        <v>4</v>
      </c>
      <c r="I31" s="93"/>
      <c r="J31" s="192"/>
      <c r="K31" s="193"/>
      <c r="L31" s="223" t="s">
        <v>166</v>
      </c>
      <c r="M31" s="223" t="s">
        <v>153</v>
      </c>
      <c r="N31" s="224" t="s">
        <v>167</v>
      </c>
      <c r="O31" s="93"/>
      <c r="P31" s="93"/>
      <c r="Q31" s="93"/>
      <c r="R31" s="108" t="s">
        <v>24</v>
      </c>
      <c r="S31" s="108" t="s">
        <v>168</v>
      </c>
      <c r="T31" s="108" t="s">
        <v>169</v>
      </c>
      <c r="U31" s="108" t="s">
        <v>170</v>
      </c>
      <c r="AD31" s="95"/>
      <c r="AE31" s="95"/>
      <c r="AF31" s="93"/>
      <c r="AG31" s="93"/>
      <c r="AJ31" s="93"/>
      <c r="AK31" s="93"/>
      <c r="AL31" s="93"/>
      <c r="AM31" s="93"/>
    </row>
    <row r="32" spans="1:39" s="94" customFormat="1">
      <c r="A32" s="93"/>
      <c r="B32" s="93"/>
      <c r="C32" s="99" t="s">
        <v>185</v>
      </c>
      <c r="D32" s="291">
        <f>SUM(V7:AC24)</f>
        <v>91</v>
      </c>
      <c r="E32" s="292"/>
      <c r="F32" s="291" t="s">
        <v>157</v>
      </c>
      <c r="G32" s="292"/>
      <c r="H32" s="256">
        <f>S48</f>
        <v>16</v>
      </c>
      <c r="I32" s="93"/>
      <c r="J32" s="137" t="s">
        <v>104</v>
      </c>
      <c r="K32" s="138"/>
      <c r="L32" s="139">
        <f>S32</f>
        <v>0</v>
      </c>
      <c r="M32" s="139">
        <f>T32</f>
        <v>0</v>
      </c>
      <c r="N32" s="140">
        <f>U32</f>
        <v>0</v>
      </c>
      <c r="O32" s="93"/>
      <c r="P32" s="93"/>
      <c r="Q32" s="93"/>
      <c r="R32" s="251">
        <v>0</v>
      </c>
      <c r="S32" s="251">
        <f t="shared" ref="S32:S47" si="26">COUNTIF($V$7:$AC$24,R32)</f>
        <v>0</v>
      </c>
      <c r="T32" s="251">
        <f>COUNTIF($Q$7:$Q$26,R32)</f>
        <v>0</v>
      </c>
      <c r="U32" s="251">
        <f>COUNTIF($N$8:$N$25,R32)</f>
        <v>0</v>
      </c>
      <c r="AD32" s="95"/>
      <c r="AE32" s="95"/>
      <c r="AF32" s="93"/>
      <c r="AG32" s="93"/>
      <c r="AJ32" s="93"/>
      <c r="AK32" s="93"/>
      <c r="AL32" s="93"/>
      <c r="AM32" s="93"/>
    </row>
    <row r="33" spans="1:39" s="94" customFormat="1">
      <c r="A33" s="93"/>
      <c r="B33" s="93"/>
      <c r="C33" s="133" t="s">
        <v>189</v>
      </c>
      <c r="D33" s="291">
        <f>H25*2</f>
        <v>10</v>
      </c>
      <c r="E33" s="292"/>
      <c r="F33" s="134"/>
      <c r="G33" s="135"/>
      <c r="H33" s="136"/>
      <c r="I33" s="93"/>
      <c r="J33" s="137" t="s">
        <v>105</v>
      </c>
      <c r="K33" s="138"/>
      <c r="L33" s="139">
        <f t="shared" ref="L33:N37" si="27">S33</f>
        <v>0</v>
      </c>
      <c r="M33" s="139">
        <f t="shared" si="27"/>
        <v>0</v>
      </c>
      <c r="N33" s="140">
        <f t="shared" si="27"/>
        <v>0</v>
      </c>
      <c r="O33" s="93"/>
      <c r="P33" s="93"/>
      <c r="Q33" s="93"/>
      <c r="R33" s="251">
        <v>1</v>
      </c>
      <c r="S33" s="251">
        <f t="shared" si="26"/>
        <v>0</v>
      </c>
      <c r="T33" s="251">
        <f t="shared" ref="T33:T47" si="28">COUNTIF($Q$7:$Q$26,R33)</f>
        <v>0</v>
      </c>
      <c r="U33" s="265">
        <f t="shared" ref="U33:U47" si="29">COUNTIF($N$8:$N$25,R33)</f>
        <v>0</v>
      </c>
      <c r="AD33" s="95"/>
      <c r="AE33" s="95"/>
      <c r="AF33" s="93"/>
      <c r="AG33" s="93"/>
      <c r="AJ33" s="93"/>
      <c r="AK33" s="93"/>
      <c r="AL33" s="93"/>
      <c r="AM33" s="93"/>
    </row>
    <row r="34" spans="1:39" s="94" customFormat="1">
      <c r="A34" s="93"/>
      <c r="B34" s="93"/>
      <c r="C34" s="133" t="s">
        <v>192</v>
      </c>
      <c r="D34" s="289" t="str">
        <f>IF(U29=1,N29*2,"")</f>
        <v/>
      </c>
      <c r="E34" s="289"/>
      <c r="F34" s="135"/>
      <c r="G34" s="135"/>
      <c r="H34" s="136"/>
      <c r="I34" s="93"/>
      <c r="J34" s="137" t="s">
        <v>106</v>
      </c>
      <c r="K34" s="138"/>
      <c r="L34" s="139">
        <f t="shared" si="27"/>
        <v>0</v>
      </c>
      <c r="M34" s="139">
        <f t="shared" si="27"/>
        <v>0</v>
      </c>
      <c r="N34" s="140">
        <f t="shared" si="27"/>
        <v>0</v>
      </c>
      <c r="O34" s="93"/>
      <c r="P34" s="93"/>
      <c r="Q34" s="93"/>
      <c r="R34" s="251">
        <v>2</v>
      </c>
      <c r="S34" s="251">
        <f t="shared" si="26"/>
        <v>0</v>
      </c>
      <c r="T34" s="251">
        <f t="shared" si="28"/>
        <v>0</v>
      </c>
      <c r="U34" s="265">
        <f t="shared" si="29"/>
        <v>0</v>
      </c>
      <c r="AD34" s="95"/>
      <c r="AE34" s="95"/>
      <c r="AF34" s="93"/>
      <c r="AG34" s="93"/>
      <c r="AJ34" s="93"/>
      <c r="AK34" s="93"/>
      <c r="AL34" s="93"/>
      <c r="AM34" s="93"/>
    </row>
    <row r="35" spans="1:39" s="94" customFormat="1">
      <c r="A35" s="93"/>
      <c r="B35" s="93"/>
      <c r="C35" s="141" t="s">
        <v>158</v>
      </c>
      <c r="D35" s="293">
        <f>SUM(D31:D34)</f>
        <v>165</v>
      </c>
      <c r="E35" s="294"/>
      <c r="F35" s="134" t="s">
        <v>195</v>
      </c>
      <c r="G35" s="135"/>
      <c r="H35" s="136"/>
      <c r="I35" s="93"/>
      <c r="J35" s="137" t="s">
        <v>107</v>
      </c>
      <c r="K35" s="138"/>
      <c r="L35" s="139">
        <f t="shared" si="27"/>
        <v>1</v>
      </c>
      <c r="M35" s="139">
        <f t="shared" si="27"/>
        <v>0</v>
      </c>
      <c r="N35" s="140">
        <f t="shared" si="27"/>
        <v>0</v>
      </c>
      <c r="O35" s="93"/>
      <c r="P35" s="93"/>
      <c r="Q35" s="93"/>
      <c r="R35" s="251">
        <v>3</v>
      </c>
      <c r="S35" s="251">
        <f t="shared" si="26"/>
        <v>1</v>
      </c>
      <c r="T35" s="251">
        <f t="shared" si="28"/>
        <v>0</v>
      </c>
      <c r="U35" s="265">
        <f t="shared" si="29"/>
        <v>0</v>
      </c>
      <c r="AD35" s="95"/>
      <c r="AE35" s="95"/>
      <c r="AF35" s="93"/>
      <c r="AG35" s="93"/>
      <c r="AJ35" s="93"/>
      <c r="AK35" s="93"/>
      <c r="AL35" s="93"/>
      <c r="AM35" s="93"/>
    </row>
    <row r="36" spans="1:39" s="94" customFormat="1">
      <c r="A36" s="93"/>
      <c r="B36" s="93"/>
      <c r="C36" s="141" t="s">
        <v>23</v>
      </c>
      <c r="D36" s="295" t="str">
        <f>IF(D37="bestanden",INT(F36*10)/10,"")</f>
        <v/>
      </c>
      <c r="E36" s="296"/>
      <c r="F36" s="253">
        <f>17/3-5*D35/420</f>
        <v>3.7023809523809526</v>
      </c>
      <c r="G36" s="134"/>
      <c r="H36" s="136"/>
      <c r="I36" s="93"/>
      <c r="J36" s="142" t="s">
        <v>149</v>
      </c>
      <c r="K36" s="143"/>
      <c r="L36" s="144">
        <f t="shared" si="27"/>
        <v>11</v>
      </c>
      <c r="M36" s="144">
        <f t="shared" si="27"/>
        <v>3</v>
      </c>
      <c r="N36" s="145">
        <f t="shared" si="27"/>
        <v>0</v>
      </c>
      <c r="O36" s="93"/>
      <c r="P36" s="93"/>
      <c r="Q36" s="93"/>
      <c r="R36" s="251">
        <v>4</v>
      </c>
      <c r="S36" s="251">
        <f t="shared" si="26"/>
        <v>11</v>
      </c>
      <c r="T36" s="251">
        <f t="shared" si="28"/>
        <v>3</v>
      </c>
      <c r="U36" s="265">
        <f t="shared" si="29"/>
        <v>0</v>
      </c>
      <c r="AD36" s="95"/>
      <c r="AE36" s="95"/>
      <c r="AF36" s="93"/>
      <c r="AG36" s="93"/>
      <c r="AJ36" s="93"/>
      <c r="AK36" s="93"/>
      <c r="AL36" s="93"/>
      <c r="AM36" s="93"/>
    </row>
    <row r="37" spans="1:39" s="94" customFormat="1">
      <c r="A37" s="93"/>
      <c r="B37" s="93"/>
      <c r="C37" s="264" t="str">
        <f>IF(SUM(U15+U22+1)&gt;0,"Abitur (allgemein)","Abitur (fachgebunden)")</f>
        <v>Abitur (allgemein)</v>
      </c>
      <c r="D37" s="297" t="str">
        <f>IF(AND(U29=1,E43=0,H32=16,U48=4,H25&gt;0,M27&lt;4),"bestanden","nicht bestanden")</f>
        <v>nicht bestanden</v>
      </c>
      <c r="E37" s="298"/>
      <c r="F37" s="293"/>
      <c r="G37" s="135"/>
      <c r="H37" s="136"/>
      <c r="I37" s="93"/>
      <c r="J37" s="142" t="s">
        <v>150</v>
      </c>
      <c r="K37" s="143"/>
      <c r="L37" s="144">
        <f t="shared" si="27"/>
        <v>0</v>
      </c>
      <c r="M37" s="144">
        <f t="shared" si="27"/>
        <v>2</v>
      </c>
      <c r="N37" s="145">
        <f t="shared" si="27"/>
        <v>1</v>
      </c>
      <c r="O37" s="93"/>
      <c r="P37" s="93"/>
      <c r="Q37" s="93"/>
      <c r="R37" s="251">
        <v>5</v>
      </c>
      <c r="S37" s="251">
        <f t="shared" si="26"/>
        <v>0</v>
      </c>
      <c r="T37" s="251">
        <f t="shared" si="28"/>
        <v>2</v>
      </c>
      <c r="U37" s="265">
        <f t="shared" si="29"/>
        <v>1</v>
      </c>
      <c r="AD37" s="95"/>
      <c r="AE37" s="95"/>
      <c r="AF37" s="93"/>
      <c r="AG37" s="93"/>
      <c r="AJ37" s="93"/>
      <c r="AK37" s="93"/>
      <c r="AL37" s="93"/>
      <c r="AM37" s="93"/>
    </row>
    <row r="38" spans="1:39" s="94" customFormat="1">
      <c r="A38" s="93"/>
      <c r="B38" s="93"/>
      <c r="C38" s="93"/>
      <c r="D38" s="93"/>
      <c r="E38" s="93"/>
      <c r="F38" s="93"/>
      <c r="G38" s="93"/>
      <c r="H38" s="93"/>
      <c r="I38" s="93"/>
      <c r="J38" s="293" t="s">
        <v>151</v>
      </c>
      <c r="K38" s="294"/>
      <c r="L38" s="255">
        <f>SUM(L32:L35)</f>
        <v>1</v>
      </c>
      <c r="M38" s="255">
        <f>SUM(M32:M35)</f>
        <v>0</v>
      </c>
      <c r="N38" s="256">
        <f>SUM(N32:N35)</f>
        <v>0</v>
      </c>
      <c r="O38" s="93"/>
      <c r="P38" s="93"/>
      <c r="Q38" s="93"/>
      <c r="R38" s="251">
        <v>6</v>
      </c>
      <c r="S38" s="251">
        <f t="shared" si="26"/>
        <v>0</v>
      </c>
      <c r="T38" s="251">
        <f t="shared" si="28"/>
        <v>0</v>
      </c>
      <c r="U38" s="265">
        <f t="shared" si="29"/>
        <v>0</v>
      </c>
      <c r="AD38" s="95"/>
      <c r="AE38" s="95"/>
      <c r="AF38" s="93"/>
      <c r="AG38" s="93"/>
      <c r="AJ38" s="93"/>
      <c r="AK38" s="93"/>
      <c r="AL38" s="93"/>
      <c r="AM38" s="93"/>
    </row>
    <row r="39" spans="1:39" s="94" customFormat="1">
      <c r="A39" s="93"/>
      <c r="B39" s="93"/>
      <c r="C39" s="146" t="s">
        <v>172</v>
      </c>
      <c r="D39" s="299"/>
      <c r="E39" s="299"/>
      <c r="F39" s="299"/>
      <c r="G39" s="93"/>
      <c r="H39" s="93"/>
      <c r="I39" s="93"/>
      <c r="J39" s="194" t="s">
        <v>152</v>
      </c>
      <c r="K39" s="195"/>
      <c r="L39" s="191">
        <f>2*L32+L33+L34+L35</f>
        <v>1</v>
      </c>
      <c r="M39" s="191">
        <f>2*M32+M33+M34+M35</f>
        <v>0</v>
      </c>
      <c r="N39" s="89">
        <f>2*N32+N33+N34+N35</f>
        <v>0</v>
      </c>
      <c r="O39" s="93"/>
      <c r="P39" s="93"/>
      <c r="Q39" s="93"/>
      <c r="R39" s="251">
        <v>7</v>
      </c>
      <c r="S39" s="251">
        <f t="shared" si="26"/>
        <v>0</v>
      </c>
      <c r="T39" s="251">
        <f t="shared" si="28"/>
        <v>3</v>
      </c>
      <c r="U39" s="265">
        <f t="shared" si="29"/>
        <v>0</v>
      </c>
      <c r="AD39" s="95"/>
      <c r="AE39" s="95"/>
      <c r="AF39" s="93"/>
      <c r="AG39" s="93"/>
      <c r="AJ39" s="93"/>
      <c r="AK39" s="93"/>
      <c r="AL39" s="93"/>
      <c r="AM39" s="93"/>
    </row>
    <row r="40" spans="1:39" s="94" customFormat="1">
      <c r="A40" s="93"/>
      <c r="B40" s="93"/>
      <c r="C40" s="206" t="s">
        <v>180</v>
      </c>
      <c r="D40" s="288" t="str">
        <f>IF(AND(N32=0,N39&lt;3,U48=4),"erfüllt","nicht erfüllt")</f>
        <v>erfüllt</v>
      </c>
      <c r="E40" s="288"/>
      <c r="F40" s="288"/>
      <c r="G40" s="93"/>
      <c r="H40" s="93"/>
      <c r="I40" s="93"/>
      <c r="J40" s="147"/>
      <c r="K40" s="147"/>
      <c r="L40" s="252"/>
      <c r="M40" s="93"/>
      <c r="N40" s="93"/>
      <c r="O40" s="93"/>
      <c r="P40" s="93"/>
      <c r="Q40" s="93"/>
      <c r="R40" s="251">
        <v>8</v>
      </c>
      <c r="S40" s="251">
        <f t="shared" si="26"/>
        <v>0</v>
      </c>
      <c r="T40" s="251">
        <f t="shared" si="28"/>
        <v>0</v>
      </c>
      <c r="U40" s="265">
        <f t="shared" si="29"/>
        <v>1</v>
      </c>
      <c r="AD40" s="95"/>
      <c r="AE40" s="95"/>
      <c r="AF40" s="93"/>
      <c r="AG40" s="93"/>
      <c r="AJ40" s="93"/>
      <c r="AK40" s="93"/>
      <c r="AL40" s="93"/>
      <c r="AM40" s="93"/>
    </row>
    <row r="41" spans="1:39" s="94" customFormat="1">
      <c r="A41" s="93"/>
      <c r="B41" s="93"/>
      <c r="C41" s="214" t="s">
        <v>181</v>
      </c>
      <c r="D41" s="289" t="str">
        <f>IF(H32=16,IF(OR((M39=0),AND(M39=1,D35&gt;=140),AND(M39=2,D35&gt;=168)),"erfüllt","nicht erfüllt"))</f>
        <v>erfüllt</v>
      </c>
      <c r="E41" s="289"/>
      <c r="F41" s="289"/>
      <c r="G41" s="93"/>
      <c r="H41" s="93"/>
      <c r="I41" s="93"/>
      <c r="J41" s="149"/>
      <c r="K41" s="149"/>
      <c r="L41" s="93"/>
      <c r="M41" s="93"/>
      <c r="N41" s="93"/>
      <c r="O41" s="93"/>
      <c r="P41" s="93"/>
      <c r="Q41" s="93"/>
      <c r="R41" s="251">
        <v>9</v>
      </c>
      <c r="S41" s="251">
        <f t="shared" si="26"/>
        <v>0</v>
      </c>
      <c r="T41" s="251">
        <f t="shared" si="28"/>
        <v>0</v>
      </c>
      <c r="U41" s="265">
        <f t="shared" si="29"/>
        <v>1</v>
      </c>
      <c r="AD41" s="95"/>
      <c r="AE41" s="95"/>
      <c r="AF41" s="93"/>
      <c r="AG41" s="93"/>
      <c r="AJ41" s="93"/>
      <c r="AK41" s="93"/>
      <c r="AL41" s="93"/>
      <c r="AM41" s="93"/>
    </row>
    <row r="42" spans="1:39" s="94" customFormat="1">
      <c r="A42" s="93"/>
      <c r="B42" s="93"/>
      <c r="C42" s="216"/>
      <c r="D42" s="290"/>
      <c r="E42" s="290"/>
      <c r="F42" s="290"/>
      <c r="G42" s="93"/>
      <c r="H42" s="93"/>
      <c r="I42" s="93"/>
      <c r="J42" s="149"/>
      <c r="K42" s="149"/>
      <c r="L42" s="93"/>
      <c r="M42" s="93"/>
      <c r="N42" s="93"/>
      <c r="O42" s="93"/>
      <c r="P42" s="93"/>
      <c r="Q42" s="93"/>
      <c r="R42" s="251">
        <v>10</v>
      </c>
      <c r="S42" s="251">
        <f t="shared" si="26"/>
        <v>2</v>
      </c>
      <c r="T42" s="251">
        <f t="shared" si="28"/>
        <v>0</v>
      </c>
      <c r="U42" s="265">
        <f t="shared" si="29"/>
        <v>1</v>
      </c>
      <c r="AD42" s="95"/>
      <c r="AE42" s="95"/>
      <c r="AF42" s="93"/>
      <c r="AG42" s="93"/>
      <c r="AJ42" s="93"/>
      <c r="AK42" s="93"/>
      <c r="AL42" s="93"/>
      <c r="AM42" s="93"/>
    </row>
    <row r="43" spans="1:39" s="94" customFormat="1">
      <c r="A43" s="93"/>
      <c r="B43" s="93"/>
      <c r="C43" s="93"/>
      <c r="D43" s="93"/>
      <c r="E43" s="150">
        <f>COUNTIF(D40:F42,"nicht erfüllt")</f>
        <v>0</v>
      </c>
      <c r="F43" s="93"/>
      <c r="G43" s="93"/>
      <c r="H43" s="93"/>
      <c r="I43" s="93"/>
      <c r="J43" s="151"/>
      <c r="K43" s="151"/>
      <c r="L43" s="252"/>
      <c r="M43" s="93"/>
      <c r="N43" s="93"/>
      <c r="O43" s="93"/>
      <c r="P43" s="93"/>
      <c r="Q43" s="93"/>
      <c r="R43" s="251">
        <v>11</v>
      </c>
      <c r="S43" s="251">
        <f t="shared" si="26"/>
        <v>0</v>
      </c>
      <c r="T43" s="251">
        <f t="shared" si="28"/>
        <v>2</v>
      </c>
      <c r="U43" s="265">
        <f t="shared" si="29"/>
        <v>0</v>
      </c>
      <c r="AD43" s="95"/>
      <c r="AE43" s="95"/>
      <c r="AF43" s="93"/>
      <c r="AG43" s="93"/>
      <c r="AJ43" s="93"/>
      <c r="AK43" s="93"/>
      <c r="AL43" s="93"/>
      <c r="AM43" s="93"/>
    </row>
    <row r="44" spans="1:39" s="94" customFormat="1">
      <c r="A44" s="93"/>
      <c r="B44" s="93"/>
      <c r="C44" s="287" t="s">
        <v>160</v>
      </c>
      <c r="D44" s="287"/>
      <c r="E44" s="287"/>
      <c r="F44" s="287"/>
      <c r="G44" s="287"/>
      <c r="H44" s="287"/>
      <c r="I44" s="287"/>
      <c r="J44" s="287"/>
      <c r="K44" s="287"/>
      <c r="L44" s="287"/>
      <c r="M44" s="287"/>
      <c r="N44" s="287"/>
      <c r="O44" s="287"/>
      <c r="P44" s="93"/>
      <c r="Q44" s="93"/>
      <c r="R44" s="251">
        <v>12</v>
      </c>
      <c r="S44" s="251">
        <f t="shared" si="26"/>
        <v>2</v>
      </c>
      <c r="T44" s="251">
        <f t="shared" si="28"/>
        <v>0</v>
      </c>
      <c r="U44" s="265">
        <f t="shared" si="29"/>
        <v>0</v>
      </c>
      <c r="AD44" s="95"/>
      <c r="AE44" s="95"/>
      <c r="AF44" s="93"/>
      <c r="AG44" s="93"/>
      <c r="AJ44" s="93"/>
      <c r="AK44" s="93"/>
      <c r="AL44" s="93"/>
      <c r="AM44" s="93"/>
    </row>
    <row r="45" spans="1:39" s="94" customFormat="1">
      <c r="A45" s="93"/>
      <c r="B45" s="93"/>
      <c r="C45" s="93"/>
      <c r="D45" s="93"/>
      <c r="E45" s="93"/>
      <c r="F45" s="93"/>
      <c r="G45" s="93"/>
      <c r="H45" s="93"/>
      <c r="I45" s="93"/>
      <c r="J45" s="151"/>
      <c r="K45" s="151"/>
      <c r="L45" s="252"/>
      <c r="M45" s="93"/>
      <c r="N45" s="93"/>
      <c r="O45" s="93"/>
      <c r="P45" s="93"/>
      <c r="Q45" s="93"/>
      <c r="R45" s="251">
        <v>13</v>
      </c>
      <c r="S45" s="251">
        <f t="shared" si="26"/>
        <v>0</v>
      </c>
      <c r="T45" s="251">
        <f t="shared" si="28"/>
        <v>0</v>
      </c>
      <c r="U45" s="265">
        <f t="shared" si="29"/>
        <v>0</v>
      </c>
      <c r="AD45" s="95"/>
      <c r="AE45" s="95"/>
      <c r="AF45" s="93"/>
      <c r="AG45" s="93"/>
      <c r="AJ45" s="93"/>
      <c r="AK45" s="93"/>
      <c r="AL45" s="93"/>
      <c r="AM45" s="93"/>
    </row>
    <row r="46" spans="1:39" s="94" customFormat="1">
      <c r="A46" s="93"/>
      <c r="B46" s="93"/>
      <c r="C46" s="188" t="str">
        <f>'FOS 12'!C44</f>
        <v>Version 07.02.20</v>
      </c>
      <c r="D46" s="93"/>
      <c r="E46" s="93"/>
      <c r="F46" s="93"/>
      <c r="G46" s="93"/>
      <c r="H46" s="93"/>
      <c r="I46" s="93"/>
      <c r="J46" s="151"/>
      <c r="K46" s="151"/>
      <c r="L46" s="252"/>
      <c r="M46" s="93"/>
      <c r="N46" s="93"/>
      <c r="O46" s="93"/>
      <c r="P46" s="93"/>
      <c r="Q46" s="93"/>
      <c r="R46" s="251">
        <v>14</v>
      </c>
      <c r="S46" s="251">
        <f t="shared" si="26"/>
        <v>0</v>
      </c>
      <c r="T46" s="251">
        <f t="shared" si="28"/>
        <v>0</v>
      </c>
      <c r="U46" s="265">
        <f t="shared" si="29"/>
        <v>0</v>
      </c>
      <c r="AD46" s="95"/>
      <c r="AE46" s="95"/>
      <c r="AF46" s="93"/>
      <c r="AG46" s="93"/>
      <c r="AJ46" s="93"/>
      <c r="AK46" s="93"/>
      <c r="AL46" s="93"/>
      <c r="AM46" s="93"/>
    </row>
    <row r="47" spans="1:39" s="94" customFormat="1">
      <c r="A47" s="93"/>
      <c r="B47" s="93"/>
      <c r="C47" s="188" t="s">
        <v>163</v>
      </c>
      <c r="D47" s="93"/>
      <c r="E47" s="93"/>
      <c r="F47" s="93"/>
      <c r="G47" s="93"/>
      <c r="H47" s="93"/>
      <c r="I47" s="93"/>
      <c r="J47" s="151"/>
      <c r="K47" s="151"/>
      <c r="L47" s="252"/>
      <c r="M47" s="93"/>
      <c r="N47" s="93"/>
      <c r="O47" s="93"/>
      <c r="P47" s="93"/>
      <c r="Q47" s="93"/>
      <c r="R47" s="251">
        <v>15</v>
      </c>
      <c r="S47" s="251">
        <f t="shared" si="26"/>
        <v>0</v>
      </c>
      <c r="T47" s="251">
        <f t="shared" si="28"/>
        <v>0</v>
      </c>
      <c r="U47" s="265">
        <f t="shared" si="29"/>
        <v>0</v>
      </c>
      <c r="AD47" s="95"/>
      <c r="AE47" s="95"/>
      <c r="AF47" s="93"/>
      <c r="AG47" s="93"/>
      <c r="AJ47" s="93"/>
      <c r="AK47" s="93"/>
      <c r="AL47" s="93"/>
      <c r="AM47" s="93"/>
    </row>
    <row r="48" spans="1:39" s="94" customFormat="1">
      <c r="A48" s="93"/>
      <c r="B48" s="93"/>
      <c r="C48" s="93"/>
      <c r="D48" s="93"/>
      <c r="E48" s="93"/>
      <c r="F48" s="93"/>
      <c r="G48" s="93"/>
      <c r="H48" s="93"/>
      <c r="I48" s="93"/>
      <c r="J48" s="149"/>
      <c r="K48" s="149"/>
      <c r="L48" s="93"/>
      <c r="M48" s="93"/>
      <c r="N48" s="93"/>
      <c r="O48" s="93"/>
      <c r="P48" s="93"/>
      <c r="Q48" s="93"/>
      <c r="R48" s="251"/>
      <c r="S48" s="152">
        <f>SUM(S32:S47)</f>
        <v>16</v>
      </c>
      <c r="T48" s="152">
        <f>SUM(T32:T47)</f>
        <v>10</v>
      </c>
      <c r="U48" s="152">
        <f>SUM(U32:U47)</f>
        <v>4</v>
      </c>
      <c r="AD48" s="95"/>
      <c r="AE48" s="95"/>
      <c r="AF48" s="93"/>
      <c r="AG48" s="93"/>
      <c r="AJ48" s="93"/>
      <c r="AK48" s="93"/>
      <c r="AL48" s="93"/>
      <c r="AM48" s="93"/>
    </row>
  </sheetData>
  <sheetProtection algorithmName="SHA-512" hashValue="4kDLg0ctJRDGOZlFU1YsW2O3NTu7HeDqj6BuRO4dYx5zW31nNkt9WzL5t14hnpXkGalC4A8HlWWXwPt/TdO5/g==" saltValue="AX7tJSgp9YnzpwLW3pO1eA==" spinCount="100000" sheet="1" formatRows="0" selectLockedCells="1"/>
  <mergeCells count="38">
    <mergeCell ref="AJ3:AK3"/>
    <mergeCell ref="AJ9:AK9"/>
    <mergeCell ref="I2:O2"/>
    <mergeCell ref="AJ2:AK2"/>
    <mergeCell ref="J3:N3"/>
    <mergeCell ref="D5:K5"/>
    <mergeCell ref="AJ5:AK5"/>
    <mergeCell ref="AJ6:AK6"/>
    <mergeCell ref="AJ7:AL7"/>
    <mergeCell ref="AJ8:AM8"/>
    <mergeCell ref="D33:E33"/>
    <mergeCell ref="D34:E34"/>
    <mergeCell ref="D35:E35"/>
    <mergeCell ref="D4:F4"/>
    <mergeCell ref="H4:O4"/>
    <mergeCell ref="D28:K28"/>
    <mergeCell ref="D31:E31"/>
    <mergeCell ref="F31:G31"/>
    <mergeCell ref="D32:E32"/>
    <mergeCell ref="F32:G32"/>
    <mergeCell ref="D29:F29"/>
    <mergeCell ref="G29:H29"/>
    <mergeCell ref="AJ1:AK1"/>
    <mergeCell ref="AJ4:AK4"/>
    <mergeCell ref="AL5:AM5"/>
    <mergeCell ref="AL6:AM6"/>
    <mergeCell ref="C44:O44"/>
    <mergeCell ref="D37:F37"/>
    <mergeCell ref="J38:K38"/>
    <mergeCell ref="D39:F39"/>
    <mergeCell ref="D40:F40"/>
    <mergeCell ref="D41:F41"/>
    <mergeCell ref="D42:F42"/>
    <mergeCell ref="D36:E36"/>
    <mergeCell ref="AJ10:AK10"/>
    <mergeCell ref="AI12:AM12"/>
    <mergeCell ref="H25:K25"/>
    <mergeCell ref="D27:K27"/>
  </mergeCells>
  <conditionalFormatting sqref="T2:T4">
    <cfRule type="cellIs" dxfId="69" priority="86" operator="greaterThan">
      <formula>1</formula>
    </cfRule>
  </conditionalFormatting>
  <conditionalFormatting sqref="H32">
    <cfRule type="cellIs" dxfId="68" priority="84" operator="notEqual">
      <formula>16</formula>
    </cfRule>
    <cfRule type="cellIs" dxfId="67" priority="85" operator="equal">
      <formula>16</formula>
    </cfRule>
  </conditionalFormatting>
  <conditionalFormatting sqref="D27">
    <cfRule type="expression" dxfId="66" priority="83">
      <formula>R5&gt;1</formula>
    </cfRule>
  </conditionalFormatting>
  <conditionalFormatting sqref="D37:F37">
    <cfRule type="containsText" dxfId="65" priority="81" operator="containsText" text="nicht bestanden">
      <formula>NOT(ISERROR(SEARCH("nicht bestanden",D37)))</formula>
    </cfRule>
    <cfRule type="containsText" dxfId="64" priority="82" operator="containsText" text="bestanden">
      <formula>NOT(ISERROR(SEARCH("bestanden",D37)))</formula>
    </cfRule>
  </conditionalFormatting>
  <conditionalFormatting sqref="D18">
    <cfRule type="expression" dxfId="63" priority="79">
      <formula>"G5=0"</formula>
    </cfRule>
    <cfRule type="expression" dxfId="62" priority="80">
      <formula>E18=1</formula>
    </cfRule>
  </conditionalFormatting>
  <conditionalFormatting sqref="F16">
    <cfRule type="expression" dxfId="61" priority="77">
      <formula>"G5=0"</formula>
    </cfRule>
    <cfRule type="expression" dxfId="60" priority="78">
      <formula>G16=1</formula>
    </cfRule>
  </conditionalFormatting>
  <conditionalFormatting sqref="H7">
    <cfRule type="expression" dxfId="59" priority="75">
      <formula>"&lt;&gt;istzahl(Z7)"</formula>
    </cfRule>
    <cfRule type="expression" dxfId="58" priority="76">
      <formula>ISNUMBER(Z7)</formula>
    </cfRule>
  </conditionalFormatting>
  <conditionalFormatting sqref="D11">
    <cfRule type="expression" dxfId="57" priority="73">
      <formula>"&lt;&gt;istzahl(Z7)"</formula>
    </cfRule>
    <cfRule type="expression" dxfId="56" priority="74">
      <formula>ISNUMBER(V11)</formula>
    </cfRule>
  </conditionalFormatting>
  <conditionalFormatting sqref="D17">
    <cfRule type="expression" dxfId="55" priority="71">
      <formula>"&lt;&gt;istzahl(Z7)"</formula>
    </cfRule>
    <cfRule type="expression" dxfId="54" priority="72">
      <formula>ISNUMBER(V17)</formula>
    </cfRule>
  </conditionalFormatting>
  <conditionalFormatting sqref="F8:F11">
    <cfRule type="expression" dxfId="53" priority="69">
      <formula>"&lt;&gt;istzahl(Z7)"</formula>
    </cfRule>
    <cfRule type="expression" dxfId="52" priority="70">
      <formula>ISNUMBER(X8)</formula>
    </cfRule>
  </conditionalFormatting>
  <conditionalFormatting sqref="F14:F15">
    <cfRule type="expression" dxfId="51" priority="67">
      <formula>"&lt;&gt;istzahl(Z7)"</formula>
    </cfRule>
    <cfRule type="expression" dxfId="50" priority="68">
      <formula>ISNUMBER(X14)</formula>
    </cfRule>
  </conditionalFormatting>
  <conditionalFormatting sqref="F17:F19">
    <cfRule type="expression" dxfId="49" priority="65">
      <formula>"&lt;&gt;istzahl(Z7)"</formula>
    </cfRule>
    <cfRule type="expression" dxfId="48" priority="66">
      <formula>ISNUMBER(X17)</formula>
    </cfRule>
  </conditionalFormatting>
  <conditionalFormatting sqref="H8:H10">
    <cfRule type="expression" dxfId="47" priority="63">
      <formula>"&lt;&gt;istzahl(Z7)"</formula>
    </cfRule>
    <cfRule type="expression" dxfId="46" priority="64">
      <formula>ISNUMBER(Z8)</formula>
    </cfRule>
  </conditionalFormatting>
  <conditionalFormatting sqref="H12:H13">
    <cfRule type="expression" dxfId="45" priority="61">
      <formula>"&lt;&gt;istzahl(Z7)"</formula>
    </cfRule>
    <cfRule type="expression" dxfId="44" priority="62">
      <formula>ISNUMBER(Z12)</formula>
    </cfRule>
  </conditionalFormatting>
  <conditionalFormatting sqref="H14:H16">
    <cfRule type="expression" dxfId="43" priority="59">
      <formula>"&lt;&gt;istzahl(Z7)"</formula>
    </cfRule>
    <cfRule type="expression" dxfId="42" priority="60">
      <formula>ISNUMBER(Z14)</formula>
    </cfRule>
  </conditionalFormatting>
  <conditionalFormatting sqref="H18:H24">
    <cfRule type="expression" dxfId="41" priority="57">
      <formula>"&lt;&gt;istzahl(Z7)"</formula>
    </cfRule>
    <cfRule type="expression" dxfId="40" priority="58">
      <formula>ISNUMBER(Z18)</formula>
    </cfRule>
  </conditionalFormatting>
  <conditionalFormatting sqref="J7">
    <cfRule type="expression" dxfId="39" priority="55">
      <formula>"&lt;&gt;istzahl(Z7)"</formula>
    </cfRule>
    <cfRule type="expression" dxfId="38" priority="56">
      <formula>ISNUMBER(AB7)</formula>
    </cfRule>
  </conditionalFormatting>
  <conditionalFormatting sqref="J8:J10">
    <cfRule type="expression" dxfId="37" priority="53">
      <formula>"&lt;&gt;istzahl(Z7)"</formula>
    </cfRule>
    <cfRule type="expression" dxfId="36" priority="54">
      <formula>ISNUMBER(AB8)</formula>
    </cfRule>
  </conditionalFormatting>
  <conditionalFormatting sqref="J12:J13">
    <cfRule type="expression" dxfId="35" priority="51">
      <formula>"&lt;&gt;istzahl(Z7)"</formula>
    </cfRule>
    <cfRule type="expression" dxfId="34" priority="52">
      <formula>ISNUMBER(AB12)</formula>
    </cfRule>
  </conditionalFormatting>
  <conditionalFormatting sqref="J14:J16">
    <cfRule type="expression" dxfId="33" priority="49">
      <formula>"&lt;&gt;istzahl(Z7)"</formula>
    </cfRule>
    <cfRule type="expression" dxfId="32" priority="50">
      <formula>ISNUMBER(AB14)</formula>
    </cfRule>
  </conditionalFormatting>
  <conditionalFormatting sqref="J18:J20 J22:J24">
    <cfRule type="expression" dxfId="31" priority="47">
      <formula>"&lt;&gt;istzahl(Z7)"</formula>
    </cfRule>
    <cfRule type="expression" dxfId="30" priority="48">
      <formula>ISNUMBER(AB18)</formula>
    </cfRule>
  </conditionalFormatting>
  <conditionalFormatting sqref="L8">
    <cfRule type="expression" dxfId="29" priority="46">
      <formula>ISNUMBER(L8)</formula>
    </cfRule>
  </conditionalFormatting>
  <conditionalFormatting sqref="L9:L10">
    <cfRule type="expression" dxfId="28" priority="45">
      <formula>ISNUMBER(L9)</formula>
    </cfRule>
  </conditionalFormatting>
  <conditionalFormatting sqref="M8:M10">
    <cfRule type="expression" dxfId="27" priority="44">
      <formula>ISNUMBER(M8)</formula>
    </cfRule>
  </conditionalFormatting>
  <conditionalFormatting sqref="L14">
    <cfRule type="expression" dxfId="26" priority="43">
      <formula>ISNUMBER(L14)</formula>
    </cfRule>
  </conditionalFormatting>
  <conditionalFormatting sqref="M14">
    <cfRule type="expression" dxfId="25" priority="42">
      <formula>ISNUMBER(M14)</formula>
    </cfRule>
  </conditionalFormatting>
  <conditionalFormatting sqref="D26">
    <cfRule type="expression" dxfId="24" priority="41">
      <formula>ISNUMBER(D26)</formula>
    </cfRule>
  </conditionalFormatting>
  <conditionalFormatting sqref="F26">
    <cfRule type="expression" dxfId="23" priority="40">
      <formula>ISNUMBER(F26)</formula>
    </cfRule>
  </conditionalFormatting>
  <conditionalFormatting sqref="H25:K25">
    <cfRule type="expression" dxfId="22" priority="39">
      <formula>ISNUMBER(H25)</formula>
    </cfRule>
  </conditionalFormatting>
  <conditionalFormatting sqref="H31">
    <cfRule type="expression" dxfId="21" priority="37">
      <formula>$H$31&lt;&gt;4</formula>
    </cfRule>
    <cfRule type="expression" dxfId="20" priority="38">
      <formula>$H$31=4</formula>
    </cfRule>
  </conditionalFormatting>
  <conditionalFormatting sqref="O22">
    <cfRule type="expression" dxfId="19" priority="36">
      <formula>$A$22=0</formula>
    </cfRule>
  </conditionalFormatting>
  <conditionalFormatting sqref="O23">
    <cfRule type="expression" dxfId="18" priority="35">
      <formula>$A$23=0</formula>
    </cfRule>
  </conditionalFormatting>
  <conditionalFormatting sqref="D28:K28 J29:K29 D30:K30">
    <cfRule type="containsText" dxfId="17" priority="34" operator="containsText" text="Zur Prüfung nicht zugelassen">
      <formula>NOT(ISERROR(SEARCH("Zur Prüfung nicht zugelassen",D28)))</formula>
    </cfRule>
  </conditionalFormatting>
  <conditionalFormatting sqref="AM1">
    <cfRule type="expression" dxfId="16" priority="32">
      <formula>$H$31&lt;&gt;4</formula>
    </cfRule>
    <cfRule type="expression" dxfId="15" priority="33">
      <formula>$H$31=4</formula>
    </cfRule>
  </conditionalFormatting>
  <conditionalFormatting sqref="AJ7:AL7">
    <cfRule type="containsText" dxfId="14" priority="30" operator="containsText" text="nicht bestanden">
      <formula>NOT(ISERROR(SEARCH("nicht bestanden",AJ7)))</formula>
    </cfRule>
    <cfRule type="containsText" dxfId="13" priority="31" operator="containsText" text="bestanden">
      <formula>NOT(ISERROR(SEARCH("bestanden",AJ7)))</formula>
    </cfRule>
  </conditionalFormatting>
  <conditionalFormatting sqref="J21">
    <cfRule type="expression" dxfId="12" priority="28">
      <formula>"&lt;&gt;istzahl(Z7)"</formula>
    </cfRule>
    <cfRule type="expression" dxfId="11" priority="29">
      <formula>ISNUMBER(AB21)</formula>
    </cfRule>
  </conditionalFormatting>
  <conditionalFormatting sqref="AM2">
    <cfRule type="cellIs" dxfId="10" priority="26" operator="notEqual">
      <formula>16</formula>
    </cfRule>
    <cfRule type="cellIs" dxfId="9" priority="27" operator="equal">
      <formula>16</formula>
    </cfRule>
  </conditionalFormatting>
  <conditionalFormatting sqref="O29">
    <cfRule type="expression" dxfId="8" priority="20">
      <formula>$A$22=0</formula>
    </cfRule>
  </conditionalFormatting>
  <conditionalFormatting sqref="C37">
    <cfRule type="containsText" dxfId="7" priority="19" operator="containsText" text="Abitur (allgemein)">
      <formula>NOT(ISERROR(SEARCH("Abitur (allgemein)",C37)))</formula>
    </cfRule>
  </conditionalFormatting>
  <conditionalFormatting sqref="AI7">
    <cfRule type="containsText" dxfId="6" priority="18" operator="containsText" text="Abitur (allgemein)">
      <formula>NOT(ISERROR(SEARCH("Abitur (allgemein)",AI7)))</formula>
    </cfRule>
  </conditionalFormatting>
  <conditionalFormatting sqref="M27">
    <cfRule type="cellIs" dxfId="5" priority="17" operator="greaterThan">
      <formula>3</formula>
    </cfRule>
  </conditionalFormatting>
  <conditionalFormatting sqref="L29">
    <cfRule type="expression" dxfId="4" priority="5">
      <formula>ISNUMBER(L29)</formula>
    </cfRule>
  </conditionalFormatting>
  <conditionalFormatting sqref="M29">
    <cfRule type="expression" dxfId="3" priority="4">
      <formula>ISNUMBER(M29)</formula>
    </cfRule>
  </conditionalFormatting>
  <conditionalFormatting sqref="D29:H29">
    <cfRule type="containsText" dxfId="2" priority="2" operator="containsText" text="nicht bestanden">
      <formula>NOT(ISERROR(SEARCH("nicht bestanden",D29)))</formula>
    </cfRule>
    <cfRule type="containsText" dxfId="1" priority="3" operator="containsText" text="bestanden">
      <formula>NOT(ISERROR(SEARCH("bestanden",D29)))</formula>
    </cfRule>
  </conditionalFormatting>
  <conditionalFormatting sqref="D29:F29">
    <cfRule type="containsText" dxfId="0" priority="1" operator="containsText" text="unvollständig">
      <formula>NOT(ISERROR(SEARCH("unvollständig",D29)))</formula>
    </cfRule>
  </conditionalFormatting>
  <dataValidations count="2">
    <dataValidation type="whole" allowBlank="1" showInputMessage="1" showErrorMessage="1" sqref="J7:J10 F26 L14:M14 D11 F14:F16 D18 H19:H25 F18:F20 D26 F8:F11 L8:M10 H7:H10 H12:H16 J12:J16 J19:J24" xr:uid="{00000000-0002-0000-0700-000000000000}">
      <formula1>0</formula1>
      <formula2>15</formula2>
    </dataValidation>
    <dataValidation type="whole" allowBlank="1" showInputMessage="1" showErrorMessage="1" sqref="K26" xr:uid="{00000000-0002-0000-0700-000001000000}">
      <formula1>0</formula1>
      <formula2>1</formula2>
    </dataValidation>
  </dataValidations>
  <pageMargins left="0.70866141732283472" right="0.70866141732283472" top="1.3779527559055118" bottom="0.78740157480314965" header="0.31496062992125984" footer="0.31496062992125984"/>
  <pageSetup paperSize="9" scale="93" orientation="portrait" r:id="rId1"/>
  <headerFooter>
    <oddHeader>&amp;L&amp;G&amp;R&amp;G</oddHeader>
  </headerFooter>
  <legacy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2000000}">
          <x14:formula1>
            <xm:f>Hinweise!$C$6:$C$37</xm:f>
          </x14:formula1>
          <xm:sqref>C22:C23</xm:sqref>
        </x14:dataValidation>
        <x14:dataValidation type="list" allowBlank="1" showInputMessage="1" showErrorMessage="1" xr:uid="{00000000-0002-0000-0700-000003000000}">
          <x14:formula1>
            <xm:f>Hinweise!$C$5:$C$37</xm:f>
          </x14:formula1>
          <xm:sqref>C24</xm:sqref>
        </x14:dataValidation>
        <x14:dataValidation type="list" allowBlank="1" showInputMessage="1" showErrorMessage="1" xr:uid="{00000000-0002-0000-0700-000004000000}">
          <x14:formula1>
            <xm:f>Hinweise!$K$18:$K$19</xm:f>
          </x14:formula1>
          <xm:sqref>I7:I24 E7:E24 G7:G24 K7:K24</xm:sqref>
        </x14:dataValidation>
        <x14:dataValidation type="list" allowBlank="1" showInputMessage="1" showErrorMessage="1" xr:uid="{00000000-0002-0000-0700-000005000000}">
          <x14:formula1>
            <xm:f>Hinweise!$G$4:$G$10</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Hinweise</vt:lpstr>
      <vt:lpstr>FOBOSO §35</vt:lpstr>
      <vt:lpstr>FOBOSO Anlagen</vt:lpstr>
      <vt:lpstr>FOS 12</vt:lpstr>
      <vt:lpstr>FOS 13-Normalfall</vt:lpstr>
      <vt:lpstr>FOS 13-Franz. fortgeführt</vt:lpstr>
      <vt:lpstr>FOS 13-Ergänzungspr. 2.Fremdsp.</vt:lpstr>
      <vt:lpstr>'FOS 12'!Druckbereich</vt:lpstr>
      <vt:lpstr>'FOS 13-Ergänzungspr. 2.Fremdsp.'!Druckbereich</vt:lpstr>
      <vt:lpstr>'FOS 13-Franz. fortgeführt'!Druckbereich</vt:lpstr>
      <vt:lpstr>'FOS 13-Normalfall'!Druckbereich</vt:lpstr>
    </vt:vector>
  </TitlesOfParts>
  <Company>Maximilian-Kolbe-Schule Neumarkt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Benutzer</dc:creator>
  <cp:lastModifiedBy>Martina Gabriel</cp:lastModifiedBy>
  <cp:lastPrinted>2019-11-29T11:15:41Z</cp:lastPrinted>
  <dcterms:created xsi:type="dcterms:W3CDTF">2018-10-17T09:00:43Z</dcterms:created>
  <dcterms:modified xsi:type="dcterms:W3CDTF">2020-04-28T07:19:35Z</dcterms:modified>
</cp:coreProperties>
</file>