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fosw12ks1\daten\Lehrer\Persoenlich\Stroeber\Desktop\"/>
    </mc:Choice>
  </mc:AlternateContent>
  <bookViews>
    <workbookView xWindow="0" yWindow="0" windowWidth="28800" windowHeight="14100" firstSheet="1" activeTab="3"/>
  </bookViews>
  <sheets>
    <sheet name="Hinweise" sheetId="2" r:id="rId1"/>
    <sheet name="FOBOSO §35" sheetId="3" r:id="rId2"/>
    <sheet name="FOBOSO Anlagen" sheetId="7" r:id="rId3"/>
    <sheet name="FOS 12" sheetId="13" r:id="rId4"/>
    <sheet name="BOS 12=FOS 12 Wiederholer" sheetId="5" r:id="rId5"/>
    <sheet name="Demo FOS 12" sheetId="6" r:id="rId6"/>
    <sheet name="Demo FOS 12 (2)" sheetId="14" r:id="rId7"/>
    <sheet name="Demo BOS 12=FOS 12 Wiederholer" sheetId="15" r:id="rId8"/>
  </sheets>
  <definedNames>
    <definedName name="_xlnm.Print_Area" localSheetId="4">'BOS 12=FOS 12 Wiederholer'!$C$2:$O$45</definedName>
    <definedName name="_xlnm.Print_Area" localSheetId="7">'Demo BOS 12=FOS 12 Wiederholer'!$C$2:$O$45</definedName>
    <definedName name="_xlnm.Print_Area" localSheetId="5">'Demo FOS 12'!$C$2:$O$45</definedName>
    <definedName name="_xlnm.Print_Area" localSheetId="6">'Demo FOS 12 (2)'!$C$2:$O$45</definedName>
    <definedName name="_xlnm.Print_Area" localSheetId="3">'FOS 12'!$C$2:$O$45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5" l="1"/>
  <c r="T25" i="15"/>
  <c r="O25" i="15"/>
  <c r="Q25" i="15" s="1"/>
  <c r="AE25" i="15" s="1"/>
  <c r="AE24" i="15"/>
  <c r="T23" i="15"/>
  <c r="R23" i="15"/>
  <c r="A23" i="15"/>
  <c r="V23" i="15" s="1"/>
  <c r="X22" i="15"/>
  <c r="T22" i="15"/>
  <c r="R22" i="15"/>
  <c r="A22" i="15"/>
  <c r="V22" i="15" s="1"/>
  <c r="T21" i="15"/>
  <c r="R21" i="15"/>
  <c r="C21" i="15"/>
  <c r="A21" i="15" s="1"/>
  <c r="V21" i="15" s="1"/>
  <c r="T20" i="15"/>
  <c r="R20" i="15"/>
  <c r="C20" i="15"/>
  <c r="A20" i="15" s="1"/>
  <c r="AE19" i="15"/>
  <c r="AE18" i="15"/>
  <c r="AE17" i="15"/>
  <c r="AE16" i="15"/>
  <c r="T15" i="15"/>
  <c r="R15" i="15"/>
  <c r="C15" i="15"/>
  <c r="A15" i="15" s="1"/>
  <c r="AB14" i="15"/>
  <c r="T14" i="15"/>
  <c r="R14" i="15"/>
  <c r="N14" i="15"/>
  <c r="C14" i="15"/>
  <c r="A14" i="15"/>
  <c r="Z14" i="15" s="1"/>
  <c r="AB12" i="15"/>
  <c r="Z12" i="15"/>
  <c r="X12" i="15"/>
  <c r="S12" i="15" s="1"/>
  <c r="O12" i="15" s="1"/>
  <c r="Q12" i="15" s="1"/>
  <c r="AE12" i="15" s="1"/>
  <c r="V12" i="15"/>
  <c r="T12" i="15"/>
  <c r="R12" i="15"/>
  <c r="AB10" i="15"/>
  <c r="Z10" i="15"/>
  <c r="X10" i="15"/>
  <c r="V10" i="15"/>
  <c r="T10" i="15"/>
  <c r="R10" i="15"/>
  <c r="N10" i="15"/>
  <c r="AB9" i="15"/>
  <c r="Z9" i="15"/>
  <c r="X9" i="15"/>
  <c r="V9" i="15"/>
  <c r="T9" i="15"/>
  <c r="R9" i="15"/>
  <c r="N9" i="15"/>
  <c r="AB8" i="15"/>
  <c r="Z8" i="15"/>
  <c r="X8" i="15"/>
  <c r="V8" i="15"/>
  <c r="T8" i="15"/>
  <c r="R8" i="15"/>
  <c r="N8" i="15"/>
  <c r="AB7" i="15"/>
  <c r="Z7" i="15"/>
  <c r="X7" i="15"/>
  <c r="V7" i="15"/>
  <c r="T7" i="15"/>
  <c r="R7" i="15"/>
  <c r="J3" i="15"/>
  <c r="D32" i="14"/>
  <c r="D31" i="14"/>
  <c r="T26" i="14"/>
  <c r="S26" i="14"/>
  <c r="O26" i="14"/>
  <c r="Q26" i="14" s="1"/>
  <c r="AE26" i="14" s="1"/>
  <c r="T25" i="14"/>
  <c r="O25" i="14"/>
  <c r="Q25" i="14" s="1"/>
  <c r="AE25" i="14" s="1"/>
  <c r="T24" i="14"/>
  <c r="R24" i="14"/>
  <c r="A24" i="14"/>
  <c r="X24" i="14" s="1"/>
  <c r="T23" i="14"/>
  <c r="R23" i="14"/>
  <c r="A23" i="14"/>
  <c r="X23" i="14" s="1"/>
  <c r="T22" i="14"/>
  <c r="R22" i="14"/>
  <c r="A22" i="14"/>
  <c r="X22" i="14" s="1"/>
  <c r="T21" i="14"/>
  <c r="R21" i="14"/>
  <c r="T20" i="14"/>
  <c r="R20" i="14"/>
  <c r="C20" i="14"/>
  <c r="A20" i="14" s="1"/>
  <c r="T19" i="14"/>
  <c r="R19" i="14"/>
  <c r="T18" i="14"/>
  <c r="R18" i="14"/>
  <c r="C18" i="14"/>
  <c r="A18" i="14" s="1"/>
  <c r="V18" i="14" s="1"/>
  <c r="T17" i="14"/>
  <c r="R17" i="14"/>
  <c r="T16" i="14"/>
  <c r="R16" i="14"/>
  <c r="T15" i="14"/>
  <c r="R15" i="14"/>
  <c r="C15" i="14"/>
  <c r="A15" i="14" s="1"/>
  <c r="T14" i="14"/>
  <c r="R14" i="14"/>
  <c r="N14" i="14"/>
  <c r="C14" i="14"/>
  <c r="A14" i="14" s="1"/>
  <c r="AB14" i="14" s="1"/>
  <c r="AB13" i="14"/>
  <c r="Z13" i="14"/>
  <c r="X13" i="14"/>
  <c r="V13" i="14"/>
  <c r="T13" i="14"/>
  <c r="R13" i="14"/>
  <c r="Q13" i="14"/>
  <c r="AE13" i="14" s="1"/>
  <c r="AB12" i="14"/>
  <c r="Z12" i="14"/>
  <c r="X12" i="14"/>
  <c r="V12" i="14"/>
  <c r="T12" i="14"/>
  <c r="R12" i="14"/>
  <c r="AB11" i="14"/>
  <c r="Z11" i="14"/>
  <c r="X11" i="14"/>
  <c r="V11" i="14"/>
  <c r="T11" i="14"/>
  <c r="R11" i="14"/>
  <c r="AB10" i="14"/>
  <c r="Z10" i="14"/>
  <c r="X10" i="14"/>
  <c r="V10" i="14"/>
  <c r="T10" i="14"/>
  <c r="R10" i="14"/>
  <c r="N10" i="14"/>
  <c r="AB9" i="14"/>
  <c r="Z9" i="14"/>
  <c r="X9" i="14"/>
  <c r="V9" i="14"/>
  <c r="T9" i="14"/>
  <c r="R9" i="14"/>
  <c r="N9" i="14"/>
  <c r="AB8" i="14"/>
  <c r="Z8" i="14"/>
  <c r="X8" i="14"/>
  <c r="V8" i="14"/>
  <c r="T8" i="14"/>
  <c r="R8" i="14"/>
  <c r="N8" i="14"/>
  <c r="AB7" i="14"/>
  <c r="Z7" i="14"/>
  <c r="X7" i="14"/>
  <c r="V7" i="14"/>
  <c r="T7" i="14"/>
  <c r="R7" i="14"/>
  <c r="J3" i="14"/>
  <c r="AD8" i="14" l="1"/>
  <c r="X23" i="15"/>
  <c r="AD10" i="14"/>
  <c r="AD12" i="14"/>
  <c r="S13" i="14"/>
  <c r="U42" i="15"/>
  <c r="U45" i="15"/>
  <c r="AD8" i="15"/>
  <c r="AD9" i="15"/>
  <c r="S9" i="15" s="1"/>
  <c r="O9" i="15" s="1"/>
  <c r="Q9" i="15" s="1"/>
  <c r="AD12" i="15"/>
  <c r="AD10" i="15"/>
  <c r="S10" i="15" s="1"/>
  <c r="O10" i="15" s="1"/>
  <c r="Q10" i="15" s="1"/>
  <c r="R5" i="15"/>
  <c r="X20" i="15"/>
  <c r="V20" i="15"/>
  <c r="AB20" i="15"/>
  <c r="Z20" i="15"/>
  <c r="Z15" i="15"/>
  <c r="AB15" i="15"/>
  <c r="X15" i="15"/>
  <c r="V15" i="15"/>
  <c r="U39" i="15"/>
  <c r="S7" i="15"/>
  <c r="O7" i="15" s="1"/>
  <c r="Q7" i="15" s="1"/>
  <c r="V14" i="15"/>
  <c r="Z21" i="15"/>
  <c r="Z22" i="15"/>
  <c r="Z23" i="15"/>
  <c r="AD23" i="15" s="1"/>
  <c r="U30" i="15"/>
  <c r="U33" i="15"/>
  <c r="N33" i="15" s="1"/>
  <c r="U34" i="15"/>
  <c r="N34" i="15" s="1"/>
  <c r="U44" i="15"/>
  <c r="X21" i="15"/>
  <c r="U38" i="15"/>
  <c r="U41" i="15"/>
  <c r="X14" i="15"/>
  <c r="AB21" i="15"/>
  <c r="S37" i="15" s="1"/>
  <c r="AB22" i="15"/>
  <c r="AB23" i="15"/>
  <c r="U32" i="15"/>
  <c r="N32" i="15" s="1"/>
  <c r="U36" i="15"/>
  <c r="U43" i="15"/>
  <c r="D29" i="15"/>
  <c r="U31" i="15"/>
  <c r="N31" i="15" s="1"/>
  <c r="U35" i="15"/>
  <c r="N35" i="15" s="1"/>
  <c r="U37" i="15"/>
  <c r="U40" i="15"/>
  <c r="S8" i="15"/>
  <c r="O8" i="15" s="1"/>
  <c r="Q8" i="15" s="1"/>
  <c r="AD7" i="15"/>
  <c r="Q23" i="15"/>
  <c r="AE23" i="15" s="1"/>
  <c r="U42" i="14"/>
  <c r="U39" i="14"/>
  <c r="AD13" i="14"/>
  <c r="O13" i="14"/>
  <c r="S9" i="14"/>
  <c r="O9" i="14" s="1"/>
  <c r="Q9" i="14" s="1"/>
  <c r="AD9" i="14"/>
  <c r="AD11" i="14"/>
  <c r="R5" i="14"/>
  <c r="AB15" i="14"/>
  <c r="Z15" i="14"/>
  <c r="V15" i="14"/>
  <c r="X15" i="14"/>
  <c r="Z20" i="14"/>
  <c r="AB20" i="14"/>
  <c r="X20" i="14"/>
  <c r="V20" i="14"/>
  <c r="S10" i="14"/>
  <c r="O10" i="14" s="1"/>
  <c r="Q10" i="14" s="1"/>
  <c r="Z23" i="14"/>
  <c r="Z24" i="14"/>
  <c r="U37" i="14"/>
  <c r="U40" i="14"/>
  <c r="U45" i="14"/>
  <c r="S12" i="14"/>
  <c r="O12" i="14" s="1"/>
  <c r="Q12" i="14" s="1"/>
  <c r="AE12" i="14" s="1"/>
  <c r="X14" i="14"/>
  <c r="Z18" i="14"/>
  <c r="AB22" i="14"/>
  <c r="AB23" i="14"/>
  <c r="AB24" i="14"/>
  <c r="U33" i="14"/>
  <c r="N33" i="14" s="1"/>
  <c r="U34" i="14"/>
  <c r="N34" i="14" s="1"/>
  <c r="U44" i="14"/>
  <c r="AD7" i="14"/>
  <c r="V14" i="14"/>
  <c r="X18" i="14"/>
  <c r="U38" i="14"/>
  <c r="U41" i="14"/>
  <c r="S7" i="14"/>
  <c r="O7" i="14" s="1"/>
  <c r="Q7" i="14" s="1"/>
  <c r="S8" i="14"/>
  <c r="O8" i="14" s="1"/>
  <c r="Q8" i="14" s="1"/>
  <c r="S11" i="14"/>
  <c r="O11" i="14" s="1"/>
  <c r="Q11" i="14" s="1"/>
  <c r="AE11" i="14" s="1"/>
  <c r="Z14" i="14"/>
  <c r="AB18" i="14"/>
  <c r="V22" i="14"/>
  <c r="Q23" i="14"/>
  <c r="AE23" i="14" s="1"/>
  <c r="V23" i="14"/>
  <c r="Q24" i="14"/>
  <c r="AE24" i="14" s="1"/>
  <c r="V24" i="14"/>
  <c r="U32" i="14"/>
  <c r="N32" i="14" s="1"/>
  <c r="U36" i="14"/>
  <c r="U43" i="14"/>
  <c r="Z22" i="14"/>
  <c r="U30" i="14"/>
  <c r="U35" i="14"/>
  <c r="N35" i="14" s="1"/>
  <c r="D29" i="14"/>
  <c r="U31" i="14"/>
  <c r="N31" i="14" s="1"/>
  <c r="T14" i="5"/>
  <c r="T21" i="5"/>
  <c r="T22" i="5"/>
  <c r="T23" i="5"/>
  <c r="T20" i="5"/>
  <c r="T15" i="5"/>
  <c r="T12" i="5"/>
  <c r="T7" i="5"/>
  <c r="D32" i="13"/>
  <c r="D31" i="13"/>
  <c r="T26" i="13"/>
  <c r="S26" i="13"/>
  <c r="O26" i="13" s="1"/>
  <c r="Q26" i="13" s="1"/>
  <c r="AE26" i="13" s="1"/>
  <c r="T25" i="13"/>
  <c r="O25" i="13"/>
  <c r="Q25" i="13" s="1"/>
  <c r="AE25" i="13" s="1"/>
  <c r="T24" i="13"/>
  <c r="R24" i="13"/>
  <c r="A24" i="13"/>
  <c r="X24" i="13" s="1"/>
  <c r="T23" i="13"/>
  <c r="R23" i="13"/>
  <c r="A23" i="13"/>
  <c r="X23" i="13" s="1"/>
  <c r="T22" i="13"/>
  <c r="R22" i="13"/>
  <c r="A22" i="13"/>
  <c r="X22" i="13" s="1"/>
  <c r="T21" i="13"/>
  <c r="R21" i="13"/>
  <c r="T20" i="13"/>
  <c r="R20" i="13"/>
  <c r="C20" i="13"/>
  <c r="A20" i="13" s="1"/>
  <c r="T19" i="13"/>
  <c r="R19" i="13"/>
  <c r="T18" i="13"/>
  <c r="R18" i="13"/>
  <c r="C18" i="13"/>
  <c r="A18" i="13" s="1"/>
  <c r="V18" i="13" s="1"/>
  <c r="T17" i="13"/>
  <c r="R17" i="13"/>
  <c r="T16" i="13"/>
  <c r="R16" i="13"/>
  <c r="T15" i="13"/>
  <c r="R15" i="13"/>
  <c r="C15" i="13"/>
  <c r="A15" i="13"/>
  <c r="Z15" i="13" s="1"/>
  <c r="T14" i="13"/>
  <c r="R14" i="13"/>
  <c r="N14" i="13"/>
  <c r="C14" i="13"/>
  <c r="A14" i="13" s="1"/>
  <c r="AB14" i="13" s="1"/>
  <c r="AB13" i="13"/>
  <c r="Z13" i="13"/>
  <c r="X13" i="13"/>
  <c r="V13" i="13"/>
  <c r="T13" i="13"/>
  <c r="R13" i="13"/>
  <c r="Q13" i="13"/>
  <c r="AE13" i="13" s="1"/>
  <c r="AB12" i="13"/>
  <c r="Z12" i="13"/>
  <c r="X12" i="13"/>
  <c r="V12" i="13"/>
  <c r="T12" i="13"/>
  <c r="R12" i="13"/>
  <c r="AB11" i="13"/>
  <c r="Z11" i="13"/>
  <c r="X11" i="13"/>
  <c r="V11" i="13"/>
  <c r="T11" i="13"/>
  <c r="R11" i="13"/>
  <c r="AB10" i="13"/>
  <c r="Z10" i="13"/>
  <c r="X10" i="13"/>
  <c r="V10" i="13"/>
  <c r="T10" i="13"/>
  <c r="R10" i="13"/>
  <c r="N10" i="13"/>
  <c r="AB9" i="13"/>
  <c r="Z9" i="13"/>
  <c r="X9" i="13"/>
  <c r="V9" i="13"/>
  <c r="T9" i="13"/>
  <c r="R9" i="13"/>
  <c r="N9" i="13"/>
  <c r="AB8" i="13"/>
  <c r="Z8" i="13"/>
  <c r="X8" i="13"/>
  <c r="V8" i="13"/>
  <c r="T8" i="13"/>
  <c r="R8" i="13"/>
  <c r="N8" i="13"/>
  <c r="AB7" i="13"/>
  <c r="Z7" i="13"/>
  <c r="X7" i="13"/>
  <c r="V7" i="13"/>
  <c r="T7" i="13"/>
  <c r="R7" i="13"/>
  <c r="J3" i="13"/>
  <c r="T16" i="6"/>
  <c r="T17" i="6"/>
  <c r="T18" i="6"/>
  <c r="T19" i="6"/>
  <c r="T20" i="6"/>
  <c r="T21" i="6"/>
  <c r="T22" i="6"/>
  <c r="T23" i="6"/>
  <c r="T24" i="6"/>
  <c r="T15" i="6"/>
  <c r="T13" i="6"/>
  <c r="T12" i="6"/>
  <c r="T11" i="6"/>
  <c r="T7" i="6"/>
  <c r="AD21" i="15" l="1"/>
  <c r="AD22" i="15"/>
  <c r="S31" i="15"/>
  <c r="L31" i="15" s="1"/>
  <c r="S41" i="15"/>
  <c r="S38" i="15"/>
  <c r="S30" i="15"/>
  <c r="L30" i="15" s="1"/>
  <c r="S43" i="15"/>
  <c r="S34" i="15"/>
  <c r="L34" i="15" s="1"/>
  <c r="S40" i="15"/>
  <c r="D30" i="15"/>
  <c r="D33" i="15" s="1"/>
  <c r="F34" i="15" s="1"/>
  <c r="U46" i="15"/>
  <c r="H29" i="15" s="1"/>
  <c r="N30" i="15"/>
  <c r="AD14" i="15"/>
  <c r="S14" i="15" s="1"/>
  <c r="O14" i="15" s="1"/>
  <c r="Q14" i="15" s="1"/>
  <c r="S15" i="15"/>
  <c r="O15" i="15" s="1"/>
  <c r="Q15" i="15" s="1"/>
  <c r="AE15" i="15" s="1"/>
  <c r="AD15" i="15"/>
  <c r="S36" i="15"/>
  <c r="S44" i="15"/>
  <c r="S33" i="15"/>
  <c r="L33" i="15" s="1"/>
  <c r="S45" i="15"/>
  <c r="S39" i="15"/>
  <c r="S35" i="15"/>
  <c r="L35" i="15" s="1"/>
  <c r="S42" i="15"/>
  <c r="S32" i="15"/>
  <c r="L32" i="15" s="1"/>
  <c r="S22" i="15"/>
  <c r="O22" i="15" s="1"/>
  <c r="Q22" i="15" s="1"/>
  <c r="AE22" i="15" s="1"/>
  <c r="S23" i="15"/>
  <c r="O23" i="15" s="1"/>
  <c r="S21" i="15"/>
  <c r="O21" i="15" s="1"/>
  <c r="Q21" i="15" s="1"/>
  <c r="AE21" i="15" s="1"/>
  <c r="AE7" i="15"/>
  <c r="AD20" i="15"/>
  <c r="S20" i="15"/>
  <c r="O20" i="15" s="1"/>
  <c r="Q20" i="15" s="1"/>
  <c r="AE20" i="15" s="1"/>
  <c r="AD18" i="14"/>
  <c r="U46" i="14"/>
  <c r="H29" i="14" s="1"/>
  <c r="N30" i="14"/>
  <c r="S15" i="14"/>
  <c r="O15" i="14" s="1"/>
  <c r="Q15" i="14" s="1"/>
  <c r="AE15" i="14" s="1"/>
  <c r="AD15" i="14"/>
  <c r="S18" i="14"/>
  <c r="O18" i="14" s="1"/>
  <c r="Q18" i="14" s="1"/>
  <c r="AE18" i="14" s="1"/>
  <c r="AD14" i="14"/>
  <c r="S14" i="14" s="1"/>
  <c r="O14" i="14" s="1"/>
  <c r="Q14" i="14" s="1"/>
  <c r="AD24" i="14"/>
  <c r="S24" i="14"/>
  <c r="O24" i="14" s="1"/>
  <c r="S22" i="14"/>
  <c r="O22" i="14" s="1"/>
  <c r="Q22" i="14" s="1"/>
  <c r="AE22" i="14" s="1"/>
  <c r="AD22" i="14"/>
  <c r="S23" i="14"/>
  <c r="O23" i="14" s="1"/>
  <c r="AD23" i="14"/>
  <c r="AE7" i="14"/>
  <c r="S20" i="14"/>
  <c r="O20" i="14" s="1"/>
  <c r="Q20" i="14" s="1"/>
  <c r="AE20" i="14" s="1"/>
  <c r="AD20" i="14"/>
  <c r="AB15" i="13"/>
  <c r="V15" i="13"/>
  <c r="U37" i="13"/>
  <c r="U42" i="13"/>
  <c r="S13" i="13"/>
  <c r="O13" i="13" s="1"/>
  <c r="AD12" i="13"/>
  <c r="AD13" i="13"/>
  <c r="AD8" i="13"/>
  <c r="AD11" i="13"/>
  <c r="AD10" i="13"/>
  <c r="S10" i="13" s="1"/>
  <c r="O10" i="13" s="1"/>
  <c r="Q10" i="13" s="1"/>
  <c r="R5" i="13"/>
  <c r="AD9" i="13"/>
  <c r="S9" i="13" s="1"/>
  <c r="O9" i="13" s="1"/>
  <c r="Q9" i="13" s="1"/>
  <c r="S7" i="13"/>
  <c r="O7" i="13" s="1"/>
  <c r="Q7" i="13" s="1"/>
  <c r="AD7" i="13"/>
  <c r="Z20" i="13"/>
  <c r="X20" i="13"/>
  <c r="V20" i="13"/>
  <c r="AB20" i="13"/>
  <c r="Z22" i="13"/>
  <c r="Z24" i="13"/>
  <c r="U30" i="13"/>
  <c r="U35" i="13"/>
  <c r="N35" i="13" s="1"/>
  <c r="U39" i="13"/>
  <c r="U41" i="13"/>
  <c r="S12" i="13"/>
  <c r="O12" i="13" s="1"/>
  <c r="Q12" i="13" s="1"/>
  <c r="AE12" i="13" s="1"/>
  <c r="X14" i="13"/>
  <c r="X15" i="13"/>
  <c r="AD15" i="13" s="1"/>
  <c r="Z18" i="13"/>
  <c r="AB22" i="13"/>
  <c r="AB23" i="13"/>
  <c r="AB24" i="13"/>
  <c r="U33" i="13"/>
  <c r="N33" i="13" s="1"/>
  <c r="U34" i="13"/>
  <c r="N34" i="13" s="1"/>
  <c r="U44" i="13"/>
  <c r="V14" i="13"/>
  <c r="X18" i="13"/>
  <c r="U38" i="13"/>
  <c r="U40" i="13"/>
  <c r="U45" i="13"/>
  <c r="S8" i="13"/>
  <c r="O8" i="13" s="1"/>
  <c r="Q8" i="13" s="1"/>
  <c r="S11" i="13"/>
  <c r="O11" i="13" s="1"/>
  <c r="Q11" i="13" s="1"/>
  <c r="AE11" i="13" s="1"/>
  <c r="Z14" i="13"/>
  <c r="AB18" i="13"/>
  <c r="V22" i="13"/>
  <c r="Q23" i="13"/>
  <c r="AE23" i="13" s="1"/>
  <c r="V23" i="13"/>
  <c r="Q24" i="13"/>
  <c r="AE24" i="13" s="1"/>
  <c r="V24" i="13"/>
  <c r="U32" i="13"/>
  <c r="N32" i="13" s="1"/>
  <c r="U36" i="13"/>
  <c r="U43" i="13"/>
  <c r="Z23" i="13"/>
  <c r="D29" i="13"/>
  <c r="U31" i="13"/>
  <c r="N31" i="13" s="1"/>
  <c r="AE16" i="5"/>
  <c r="AE17" i="5"/>
  <c r="AE18" i="5"/>
  <c r="AE19" i="5"/>
  <c r="AE24" i="5"/>
  <c r="O14" i="5"/>
  <c r="O9" i="5"/>
  <c r="AD18" i="13" l="1"/>
  <c r="T33" i="15"/>
  <c r="M33" i="15" s="1"/>
  <c r="T31" i="15"/>
  <c r="M31" i="15" s="1"/>
  <c r="T32" i="15"/>
  <c r="M32" i="15" s="1"/>
  <c r="T39" i="15"/>
  <c r="AD25" i="15"/>
  <c r="T35" i="15"/>
  <c r="M35" i="15" s="1"/>
  <c r="T36" i="15"/>
  <c r="T43" i="15"/>
  <c r="T37" i="15"/>
  <c r="S46" i="15"/>
  <c r="H30" i="15" s="1"/>
  <c r="T44" i="15"/>
  <c r="T40" i="15"/>
  <c r="T42" i="15"/>
  <c r="T41" i="15"/>
  <c r="T30" i="15"/>
  <c r="AE5" i="15"/>
  <c r="D28" i="15" s="1"/>
  <c r="T34" i="15"/>
  <c r="M34" i="15" s="1"/>
  <c r="T38" i="15"/>
  <c r="T45" i="15"/>
  <c r="N36" i="15"/>
  <c r="N37" i="15"/>
  <c r="L37" i="15"/>
  <c r="L36" i="15"/>
  <c r="N36" i="14"/>
  <c r="N37" i="14"/>
  <c r="S15" i="13"/>
  <c r="O15" i="13" s="1"/>
  <c r="Q15" i="13" s="1"/>
  <c r="AE15" i="13" s="1"/>
  <c r="S18" i="13"/>
  <c r="O18" i="13" s="1"/>
  <c r="Q18" i="13" s="1"/>
  <c r="AE18" i="13" s="1"/>
  <c r="AD14" i="13"/>
  <c r="S14" i="13" s="1"/>
  <c r="O14" i="13" s="1"/>
  <c r="Q14" i="13" s="1"/>
  <c r="AD24" i="13"/>
  <c r="S24" i="13"/>
  <c r="O24" i="13" s="1"/>
  <c r="AD22" i="13"/>
  <c r="S22" i="13"/>
  <c r="O22" i="13" s="1"/>
  <c r="Q22" i="13" s="1"/>
  <c r="AE22" i="13" s="1"/>
  <c r="S20" i="13"/>
  <c r="O20" i="13" s="1"/>
  <c r="Q20" i="13" s="1"/>
  <c r="AE20" i="13" s="1"/>
  <c r="AD20" i="13"/>
  <c r="AE7" i="13"/>
  <c r="AD23" i="13"/>
  <c r="S23" i="13"/>
  <c r="O23" i="13" s="1"/>
  <c r="U46" i="13"/>
  <c r="H29" i="13" s="1"/>
  <c r="N30" i="13"/>
  <c r="A22" i="5"/>
  <c r="A23" i="5"/>
  <c r="A24" i="6"/>
  <c r="A23" i="6"/>
  <c r="A22" i="6"/>
  <c r="T46" i="15" l="1"/>
  <c r="M30" i="15"/>
  <c r="N36" i="13"/>
  <c r="N37" i="13"/>
  <c r="M36" i="15" l="1"/>
  <c r="M37" i="15"/>
  <c r="O25" i="5"/>
  <c r="D40" i="15" l="1"/>
  <c r="D39" i="15"/>
  <c r="D38" i="15"/>
  <c r="O25" i="6"/>
  <c r="E41" i="15" l="1"/>
  <c r="D35" i="15" s="1"/>
  <c r="D34" i="15" s="1"/>
  <c r="D32" i="6"/>
  <c r="D31" i="6"/>
  <c r="T26" i="6"/>
  <c r="S26" i="6"/>
  <c r="O26" i="6" s="1"/>
  <c r="Q26" i="6" s="1"/>
  <c r="AE26" i="6" s="1"/>
  <c r="T25" i="6"/>
  <c r="Q25" i="6"/>
  <c r="AE25" i="6" s="1"/>
  <c r="R24" i="6"/>
  <c r="V24" i="6"/>
  <c r="R23" i="6"/>
  <c r="AB23" i="6"/>
  <c r="R22" i="6"/>
  <c r="Z22" i="6"/>
  <c r="R21" i="6"/>
  <c r="C21" i="6"/>
  <c r="A21" i="6" s="1"/>
  <c r="R20" i="6"/>
  <c r="C20" i="6"/>
  <c r="A20" i="6" s="1"/>
  <c r="R19" i="6"/>
  <c r="R18" i="6"/>
  <c r="R17" i="6"/>
  <c r="C17" i="6"/>
  <c r="A17" i="6" s="1"/>
  <c r="R16" i="6"/>
  <c r="R15" i="6"/>
  <c r="C15" i="6"/>
  <c r="A15" i="6" s="1"/>
  <c r="T14" i="6"/>
  <c r="R14" i="6"/>
  <c r="N14" i="6"/>
  <c r="C14" i="6"/>
  <c r="A14" i="6" s="1"/>
  <c r="Z14" i="6" s="1"/>
  <c r="AB13" i="6"/>
  <c r="Z13" i="6"/>
  <c r="X13" i="6"/>
  <c r="V13" i="6"/>
  <c r="R13" i="6"/>
  <c r="Q13" i="6"/>
  <c r="AE13" i="6" s="1"/>
  <c r="AB12" i="6"/>
  <c r="Z12" i="6"/>
  <c r="X12" i="6"/>
  <c r="V12" i="6"/>
  <c r="R12" i="6"/>
  <c r="AB11" i="6"/>
  <c r="Z11" i="6"/>
  <c r="X11" i="6"/>
  <c r="V11" i="6"/>
  <c r="R11" i="6"/>
  <c r="AB10" i="6"/>
  <c r="Z10" i="6"/>
  <c r="X10" i="6"/>
  <c r="V10" i="6"/>
  <c r="T10" i="6"/>
  <c r="R10" i="6"/>
  <c r="N10" i="6"/>
  <c r="AB9" i="6"/>
  <c r="Z9" i="6"/>
  <c r="X9" i="6"/>
  <c r="V9" i="6"/>
  <c r="T9" i="6"/>
  <c r="R9" i="6"/>
  <c r="N9" i="6"/>
  <c r="AB8" i="6"/>
  <c r="Z8" i="6"/>
  <c r="X8" i="6"/>
  <c r="V8" i="6"/>
  <c r="T8" i="6"/>
  <c r="R8" i="6"/>
  <c r="N8" i="6"/>
  <c r="AB7" i="6"/>
  <c r="Z7" i="6"/>
  <c r="X7" i="6"/>
  <c r="V7" i="6"/>
  <c r="R7" i="6"/>
  <c r="J3" i="6"/>
  <c r="AD9" i="6" l="1"/>
  <c r="S9" i="6" s="1"/>
  <c r="S11" i="6"/>
  <c r="O11" i="6" s="1"/>
  <c r="Q11" i="6" s="1"/>
  <c r="AE11" i="6" s="1"/>
  <c r="S12" i="6"/>
  <c r="S13" i="6"/>
  <c r="O13" i="6" s="1"/>
  <c r="S7" i="6"/>
  <c r="O7" i="6" s="1"/>
  <c r="Q7" i="6" s="1"/>
  <c r="AE7" i="6" s="1"/>
  <c r="X24" i="6"/>
  <c r="V22" i="6"/>
  <c r="AB22" i="6"/>
  <c r="X23" i="6"/>
  <c r="V23" i="6"/>
  <c r="AD10" i="6"/>
  <c r="S10" i="6" s="1"/>
  <c r="O12" i="6"/>
  <c r="Q12" i="6" s="1"/>
  <c r="AE12" i="6" s="1"/>
  <c r="U39" i="6"/>
  <c r="U38" i="6"/>
  <c r="U33" i="6"/>
  <c r="N33" i="6" s="1"/>
  <c r="D29" i="6"/>
  <c r="U37" i="6"/>
  <c r="U42" i="6"/>
  <c r="U35" i="6"/>
  <c r="N35" i="6" s="1"/>
  <c r="R5" i="6"/>
  <c r="AD12" i="6"/>
  <c r="X14" i="6"/>
  <c r="AB14" i="6"/>
  <c r="V14" i="6"/>
  <c r="X17" i="6"/>
  <c r="AB17" i="6"/>
  <c r="V17" i="6"/>
  <c r="Z17" i="6"/>
  <c r="X21" i="6"/>
  <c r="AB21" i="6"/>
  <c r="V21" i="6"/>
  <c r="Z21" i="6"/>
  <c r="X15" i="6"/>
  <c r="AB15" i="6"/>
  <c r="V15" i="6"/>
  <c r="Z15" i="6"/>
  <c r="AD8" i="6"/>
  <c r="X20" i="6"/>
  <c r="AB20" i="6"/>
  <c r="V20" i="6"/>
  <c r="Z20" i="6"/>
  <c r="U45" i="6"/>
  <c r="U41" i="6"/>
  <c r="U30" i="6"/>
  <c r="U40" i="6"/>
  <c r="U34" i="6"/>
  <c r="N34" i="6" s="1"/>
  <c r="U44" i="6"/>
  <c r="AD7" i="6"/>
  <c r="X22" i="6"/>
  <c r="Z23" i="6"/>
  <c r="AB24" i="6"/>
  <c r="S24" i="6" s="1"/>
  <c r="U32" i="6"/>
  <c r="N32" i="6" s="1"/>
  <c r="U36" i="6"/>
  <c r="U43" i="6"/>
  <c r="AD11" i="6"/>
  <c r="AD13" i="6"/>
  <c r="Z24" i="6"/>
  <c r="U31" i="6"/>
  <c r="N31" i="6" s="1"/>
  <c r="C15" i="5"/>
  <c r="A15" i="5" s="1"/>
  <c r="V15" i="5" s="1"/>
  <c r="C14" i="5"/>
  <c r="A14" i="5" s="1"/>
  <c r="C21" i="5"/>
  <c r="A21" i="5" s="1"/>
  <c r="V21" i="5" s="1"/>
  <c r="C20" i="5"/>
  <c r="A20" i="5" s="1"/>
  <c r="V20" i="5" s="1"/>
  <c r="D31" i="5"/>
  <c r="T25" i="5"/>
  <c r="Q25" i="5"/>
  <c r="AE25" i="5" s="1"/>
  <c r="R23" i="5"/>
  <c r="AB23" i="5"/>
  <c r="R22" i="5"/>
  <c r="Z22" i="5"/>
  <c r="R21" i="5"/>
  <c r="R20" i="5"/>
  <c r="R15" i="5"/>
  <c r="R14" i="5"/>
  <c r="N14" i="5"/>
  <c r="AB12" i="5"/>
  <c r="Z12" i="5"/>
  <c r="X12" i="5"/>
  <c r="V12" i="5"/>
  <c r="R12" i="5"/>
  <c r="AB10" i="5"/>
  <c r="Z10" i="5"/>
  <c r="X10" i="5"/>
  <c r="V10" i="5"/>
  <c r="T10" i="5"/>
  <c r="R10" i="5"/>
  <c r="N10" i="5"/>
  <c r="AB9" i="5"/>
  <c r="Z9" i="5"/>
  <c r="X9" i="5"/>
  <c r="V9" i="5"/>
  <c r="T9" i="5"/>
  <c r="R9" i="5"/>
  <c r="N9" i="5"/>
  <c r="AB8" i="5"/>
  <c r="Z8" i="5"/>
  <c r="X8" i="5"/>
  <c r="V8" i="5"/>
  <c r="T8" i="5"/>
  <c r="R8" i="5"/>
  <c r="N8" i="5"/>
  <c r="AB7" i="5"/>
  <c r="Z7" i="5"/>
  <c r="X7" i="5"/>
  <c r="V7" i="5"/>
  <c r="S7" i="5" s="1"/>
  <c r="R7" i="5"/>
  <c r="J3" i="5"/>
  <c r="S23" i="6" l="1"/>
  <c r="S12" i="5"/>
  <c r="S8" i="5"/>
  <c r="S8" i="6"/>
  <c r="O8" i="6" s="1"/>
  <c r="Q8" i="6" s="1"/>
  <c r="S22" i="6"/>
  <c r="S20" i="6"/>
  <c r="O20" i="6" s="1"/>
  <c r="Q20" i="6" s="1"/>
  <c r="AE20" i="6" s="1"/>
  <c r="S15" i="6"/>
  <c r="O15" i="6" s="1"/>
  <c r="Q15" i="6" s="1"/>
  <c r="AE15" i="6" s="1"/>
  <c r="S21" i="6"/>
  <c r="O21" i="6" s="1"/>
  <c r="Q21" i="6" s="1"/>
  <c r="AE21" i="6" s="1"/>
  <c r="S17" i="6"/>
  <c r="O10" i="6"/>
  <c r="Q10" i="6" s="1"/>
  <c r="O9" i="6"/>
  <c r="Q9" i="6" s="1"/>
  <c r="O24" i="6"/>
  <c r="Q24" i="6" s="1"/>
  <c r="AE24" i="6" s="1"/>
  <c r="O23" i="6"/>
  <c r="Q23" i="6" s="1"/>
  <c r="AE23" i="6" s="1"/>
  <c r="AD22" i="6"/>
  <c r="O22" i="6"/>
  <c r="Q22" i="6" s="1"/>
  <c r="AE22" i="6" s="1"/>
  <c r="AD24" i="6"/>
  <c r="AD23" i="6"/>
  <c r="AD20" i="6"/>
  <c r="AD21" i="6"/>
  <c r="AD15" i="6"/>
  <c r="U46" i="6"/>
  <c r="H29" i="6" s="1"/>
  <c r="N30" i="6"/>
  <c r="AD17" i="6"/>
  <c r="O17" i="6"/>
  <c r="Q17" i="6" s="1"/>
  <c r="AE17" i="6" s="1"/>
  <c r="AD14" i="6"/>
  <c r="S14" i="6" s="1"/>
  <c r="U42" i="5"/>
  <c r="D29" i="5"/>
  <c r="V23" i="5"/>
  <c r="X23" i="5"/>
  <c r="R5" i="5"/>
  <c r="AD9" i="5"/>
  <c r="S9" i="5" s="1"/>
  <c r="AD8" i="5"/>
  <c r="O8" i="5" s="1"/>
  <c r="Q8" i="5" s="1"/>
  <c r="O12" i="5"/>
  <c r="Q12" i="5" s="1"/>
  <c r="AE12" i="5" s="1"/>
  <c r="O7" i="5"/>
  <c r="Q7" i="5" s="1"/>
  <c r="AE7" i="5" s="1"/>
  <c r="AD10" i="5"/>
  <c r="S10" i="5" s="1"/>
  <c r="V14" i="5"/>
  <c r="X14" i="5"/>
  <c r="AB14" i="5"/>
  <c r="Z14" i="5"/>
  <c r="X20" i="5"/>
  <c r="Z15" i="5"/>
  <c r="Z20" i="5"/>
  <c r="Z21" i="5"/>
  <c r="AB22" i="5"/>
  <c r="U30" i="5"/>
  <c r="U35" i="5"/>
  <c r="N35" i="5" s="1"/>
  <c r="U37" i="5"/>
  <c r="U38" i="5"/>
  <c r="U39" i="5"/>
  <c r="U40" i="5"/>
  <c r="U41" i="5"/>
  <c r="U45" i="5"/>
  <c r="X15" i="5"/>
  <c r="AB15" i="5"/>
  <c r="AB20" i="5"/>
  <c r="AB21" i="5"/>
  <c r="V22" i="5"/>
  <c r="U33" i="5"/>
  <c r="N33" i="5" s="1"/>
  <c r="U34" i="5"/>
  <c r="N34" i="5" s="1"/>
  <c r="U44" i="5"/>
  <c r="AD12" i="5"/>
  <c r="X21" i="5"/>
  <c r="S21" i="5" s="1"/>
  <c r="AD7" i="5"/>
  <c r="X22" i="5"/>
  <c r="Z23" i="5"/>
  <c r="S23" i="5" s="1"/>
  <c r="U32" i="5"/>
  <c r="N32" i="5" s="1"/>
  <c r="U36" i="5"/>
  <c r="U43" i="5"/>
  <c r="U31" i="5"/>
  <c r="N31" i="5" s="1"/>
  <c r="S22" i="5" l="1"/>
  <c r="S15" i="5"/>
  <c r="O15" i="5" s="1"/>
  <c r="Q15" i="5" s="1"/>
  <c r="AE15" i="5" s="1"/>
  <c r="S20" i="5"/>
  <c r="O14" i="6"/>
  <c r="Q14" i="6" s="1"/>
  <c r="Q9" i="5"/>
  <c r="N36" i="6"/>
  <c r="N37" i="6"/>
  <c r="O23" i="5"/>
  <c r="Q23" i="5" s="1"/>
  <c r="AE23" i="5" s="1"/>
  <c r="O21" i="5"/>
  <c r="Q21" i="5" s="1"/>
  <c r="AE21" i="5" s="1"/>
  <c r="AD23" i="5"/>
  <c r="AD20" i="5"/>
  <c r="AD15" i="5"/>
  <c r="AD21" i="5"/>
  <c r="U46" i="5"/>
  <c r="H29" i="5" s="1"/>
  <c r="N30" i="5"/>
  <c r="O20" i="5"/>
  <c r="Q20" i="5" s="1"/>
  <c r="AE20" i="5" s="1"/>
  <c r="AD14" i="5"/>
  <c r="S14" i="5" s="1"/>
  <c r="O22" i="5"/>
  <c r="Q22" i="5" s="1"/>
  <c r="AE22" i="5" s="1"/>
  <c r="AD22" i="5"/>
  <c r="AE5" i="5" l="1"/>
  <c r="D28" i="5" s="1"/>
  <c r="O10" i="5"/>
  <c r="Q10" i="5" s="1"/>
  <c r="Q14" i="5"/>
  <c r="N36" i="5"/>
  <c r="N37" i="5"/>
  <c r="O10" i="2" l="1"/>
  <c r="O9" i="2"/>
  <c r="P10" i="2"/>
  <c r="P9" i="2"/>
  <c r="P5" i="2"/>
  <c r="P4" i="2"/>
  <c r="N10" i="2"/>
  <c r="J9" i="2"/>
  <c r="K8" i="2"/>
  <c r="N5" i="2"/>
  <c r="N6" i="2"/>
  <c r="C19" i="6" s="1"/>
  <c r="A19" i="6" s="1"/>
  <c r="N7" i="2"/>
  <c r="N8" i="2"/>
  <c r="N4" i="2"/>
  <c r="K6" i="2"/>
  <c r="C16" i="6" s="1"/>
  <c r="A16" i="6" s="1"/>
  <c r="K7" i="2"/>
  <c r="Z16" i="6" l="1"/>
  <c r="X16" i="6"/>
  <c r="AB16" i="6"/>
  <c r="V16" i="6"/>
  <c r="V19" i="6"/>
  <c r="Z19" i="6"/>
  <c r="X19" i="6"/>
  <c r="AB19" i="6"/>
  <c r="C19" i="14"/>
  <c r="A19" i="14" s="1"/>
  <c r="C19" i="13"/>
  <c r="A19" i="13" s="1"/>
  <c r="C21" i="14"/>
  <c r="A21" i="14" s="1"/>
  <c r="C21" i="13"/>
  <c r="A21" i="13" s="1"/>
  <c r="M8" i="2"/>
  <c r="M7" i="2"/>
  <c r="M6" i="2"/>
  <c r="C18" i="6" s="1"/>
  <c r="A18" i="6" s="1"/>
  <c r="L10" i="2"/>
  <c r="L9" i="2"/>
  <c r="L5" i="2"/>
  <c r="L4" i="2"/>
  <c r="K5" i="2"/>
  <c r="K4" i="2"/>
  <c r="Z19" i="13" l="1"/>
  <c r="V19" i="13"/>
  <c r="X19" i="13"/>
  <c r="Q19" i="13"/>
  <c r="AE19" i="13" s="1"/>
  <c r="AB19" i="13"/>
  <c r="AD16" i="6"/>
  <c r="S16" i="6"/>
  <c r="O16" i="6" s="1"/>
  <c r="Q16" i="6" s="1"/>
  <c r="X21" i="13"/>
  <c r="V21" i="13"/>
  <c r="Z21" i="13"/>
  <c r="AB21" i="13"/>
  <c r="C16" i="14"/>
  <c r="A16" i="14" s="1"/>
  <c r="C16" i="13"/>
  <c r="A16" i="13" s="1"/>
  <c r="Q19" i="14"/>
  <c r="AE19" i="14" s="1"/>
  <c r="X19" i="14"/>
  <c r="V19" i="14"/>
  <c r="Z19" i="14"/>
  <c r="AB19" i="14"/>
  <c r="V21" i="14"/>
  <c r="Z21" i="14"/>
  <c r="AB21" i="14"/>
  <c r="X21" i="14"/>
  <c r="C17" i="14"/>
  <c r="A17" i="14" s="1"/>
  <c r="C17" i="13"/>
  <c r="A17" i="13" s="1"/>
  <c r="X18" i="6"/>
  <c r="AB18" i="6"/>
  <c r="V18" i="6"/>
  <c r="S45" i="6" s="1"/>
  <c r="Z18" i="6"/>
  <c r="AD19" i="6"/>
  <c r="S19" i="6"/>
  <c r="O19" i="6" s="1"/>
  <c r="Q19" i="6" s="1"/>
  <c r="AE19" i="6" s="1"/>
  <c r="T41" i="5"/>
  <c r="T44" i="5"/>
  <c r="T30" i="5"/>
  <c r="T37" i="5"/>
  <c r="T39" i="5"/>
  <c r="T35" i="5"/>
  <c r="M35" i="5" s="1"/>
  <c r="T34" i="5"/>
  <c r="M34" i="5" s="1"/>
  <c r="T33" i="5"/>
  <c r="M33" i="5" s="1"/>
  <c r="T32" i="5"/>
  <c r="M32" i="5" s="1"/>
  <c r="T40" i="5"/>
  <c r="T43" i="5"/>
  <c r="T38" i="5"/>
  <c r="T31" i="5"/>
  <c r="M31" i="5" s="1"/>
  <c r="T36" i="5"/>
  <c r="T42" i="5"/>
  <c r="T45" i="5"/>
  <c r="S41" i="5"/>
  <c r="S44" i="5"/>
  <c r="S39" i="5"/>
  <c r="S36" i="5"/>
  <c r="S31" i="5"/>
  <c r="L31" i="5" s="1"/>
  <c r="AD25" i="5"/>
  <c r="S30" i="5"/>
  <c r="S35" i="5"/>
  <c r="L35" i="5" s="1"/>
  <c r="S43" i="5"/>
  <c r="S33" i="5"/>
  <c r="L33" i="5" s="1"/>
  <c r="S32" i="5"/>
  <c r="L32" i="5" s="1"/>
  <c r="S45" i="5"/>
  <c r="S34" i="5"/>
  <c r="L34" i="5" s="1"/>
  <c r="S38" i="5"/>
  <c r="S40" i="5"/>
  <c r="S42" i="5"/>
  <c r="S37" i="5"/>
  <c r="D30" i="5"/>
  <c r="D33" i="5" s="1"/>
  <c r="S44" i="6" l="1"/>
  <c r="S30" i="6"/>
  <c r="Z16" i="14"/>
  <c r="X16" i="14"/>
  <c r="Q16" i="14"/>
  <c r="AB16" i="14"/>
  <c r="V16" i="14"/>
  <c r="AB17" i="14"/>
  <c r="X17" i="14"/>
  <c r="Z17" i="14"/>
  <c r="V17" i="14"/>
  <c r="S34" i="6"/>
  <c r="L34" i="6" s="1"/>
  <c r="S37" i="6"/>
  <c r="S41" i="6"/>
  <c r="Q16" i="13"/>
  <c r="Z16" i="13"/>
  <c r="X16" i="13"/>
  <c r="V16" i="13"/>
  <c r="AB16" i="13"/>
  <c r="S42" i="6"/>
  <c r="S40" i="6"/>
  <c r="AD19" i="14"/>
  <c r="S19" i="14"/>
  <c r="O19" i="14" s="1"/>
  <c r="S39" i="6"/>
  <c r="AE16" i="6"/>
  <c r="AE5" i="6" s="1"/>
  <c r="D28" i="6" s="1"/>
  <c r="AD19" i="13"/>
  <c r="AD21" i="14"/>
  <c r="S21" i="14"/>
  <c r="O21" i="14" s="1"/>
  <c r="Q21" i="14" s="1"/>
  <c r="AE21" i="14" s="1"/>
  <c r="S32" i="6"/>
  <c r="L32" i="6" s="1"/>
  <c r="S36" i="6"/>
  <c r="AD18" i="6"/>
  <c r="AD25" i="6" s="1"/>
  <c r="S18" i="6"/>
  <c r="O18" i="6" s="1"/>
  <c r="Q18" i="6" s="1"/>
  <c r="AE18" i="6" s="1"/>
  <c r="S21" i="13"/>
  <c r="O21" i="13" s="1"/>
  <c r="Q21" i="13" s="1"/>
  <c r="AE21" i="13" s="1"/>
  <c r="AD21" i="13"/>
  <c r="D30" i="6"/>
  <c r="D33" i="6" s="1"/>
  <c r="F34" i="6" s="1"/>
  <c r="S33" i="6"/>
  <c r="L33" i="6" s="1"/>
  <c r="S35" i="6"/>
  <c r="L35" i="6" s="1"/>
  <c r="S19" i="13"/>
  <c r="O19" i="13" s="1"/>
  <c r="S43" i="6"/>
  <c r="AB17" i="13"/>
  <c r="V17" i="13"/>
  <c r="Z17" i="13"/>
  <c r="X17" i="13"/>
  <c r="S31" i="6"/>
  <c r="L31" i="6" s="1"/>
  <c r="S38" i="6"/>
  <c r="F34" i="5"/>
  <c r="L30" i="5"/>
  <c r="S46" i="5"/>
  <c r="H30" i="5" s="1"/>
  <c r="T46" i="5"/>
  <c r="M30" i="5"/>
  <c r="T45" i="6" l="1"/>
  <c r="T35" i="6"/>
  <c r="M35" i="6" s="1"/>
  <c r="T31" i="6"/>
  <c r="M31" i="6" s="1"/>
  <c r="T42" i="6"/>
  <c r="T43" i="6"/>
  <c r="S17" i="14"/>
  <c r="O17" i="14" s="1"/>
  <c r="Q17" i="14" s="1"/>
  <c r="AE17" i="14" s="1"/>
  <c r="AD17" i="14"/>
  <c r="AE16" i="14"/>
  <c r="AE5" i="14" s="1"/>
  <c r="D28" i="14" s="1"/>
  <c r="T42" i="14"/>
  <c r="T30" i="14"/>
  <c r="T32" i="14"/>
  <c r="M32" i="14" s="1"/>
  <c r="T43" i="14"/>
  <c r="T39" i="14"/>
  <c r="T34" i="14"/>
  <c r="M34" i="14" s="1"/>
  <c r="T44" i="14"/>
  <c r="T41" i="14"/>
  <c r="T40" i="14"/>
  <c r="T33" i="14"/>
  <c r="M33" i="14" s="1"/>
  <c r="T31" i="14"/>
  <c r="M31" i="14" s="1"/>
  <c r="T44" i="6"/>
  <c r="T32" i="6"/>
  <c r="M32" i="6" s="1"/>
  <c r="T30" i="6"/>
  <c r="T38" i="6"/>
  <c r="T34" i="6"/>
  <c r="M34" i="6" s="1"/>
  <c r="S16" i="13"/>
  <c r="O16" i="13" s="1"/>
  <c r="S40" i="13"/>
  <c r="S34" i="13"/>
  <c r="L34" i="13" s="1"/>
  <c r="AD16" i="13"/>
  <c r="S43" i="13"/>
  <c r="D30" i="13"/>
  <c r="D33" i="13" s="1"/>
  <c r="F34" i="13" s="1"/>
  <c r="S39" i="13"/>
  <c r="S41" i="13"/>
  <c r="S33" i="13"/>
  <c r="L33" i="13" s="1"/>
  <c r="S44" i="13"/>
  <c r="S31" i="13"/>
  <c r="L31" i="13" s="1"/>
  <c r="S42" i="13"/>
  <c r="S32" i="13"/>
  <c r="L32" i="13" s="1"/>
  <c r="S38" i="13"/>
  <c r="S36" i="13"/>
  <c r="S45" i="13"/>
  <c r="S30" i="13"/>
  <c r="S35" i="13"/>
  <c r="L35" i="13" s="1"/>
  <c r="S37" i="13"/>
  <c r="AD17" i="13"/>
  <c r="S17" i="13"/>
  <c r="O17" i="13" s="1"/>
  <c r="Q17" i="13" s="1"/>
  <c r="AE17" i="13" s="1"/>
  <c r="T40" i="6"/>
  <c r="T37" i="6"/>
  <c r="T33" i="6"/>
  <c r="M33" i="6" s="1"/>
  <c r="AE16" i="13"/>
  <c r="S36" i="14"/>
  <c r="S33" i="14"/>
  <c r="L33" i="14" s="1"/>
  <c r="S31" i="14"/>
  <c r="L31" i="14" s="1"/>
  <c r="S42" i="14"/>
  <c r="S34" i="14"/>
  <c r="L34" i="14" s="1"/>
  <c r="S43" i="14"/>
  <c r="S44" i="14"/>
  <c r="S41" i="14"/>
  <c r="S45" i="14"/>
  <c r="S40" i="14"/>
  <c r="S38" i="14"/>
  <c r="S16" i="14"/>
  <c r="O16" i="14" s="1"/>
  <c r="S37" i="14"/>
  <c r="AD16" i="14"/>
  <c r="S30" i="14"/>
  <c r="S39" i="14"/>
  <c r="D30" i="14"/>
  <c r="D33" i="14" s="1"/>
  <c r="F34" i="14" s="1"/>
  <c r="S35" i="14"/>
  <c r="L35" i="14" s="1"/>
  <c r="S32" i="14"/>
  <c r="L32" i="14" s="1"/>
  <c r="T36" i="6"/>
  <c r="T41" i="6"/>
  <c r="T39" i="6"/>
  <c r="L30" i="6"/>
  <c r="S46" i="6"/>
  <c r="H30" i="6" s="1"/>
  <c r="M36" i="5"/>
  <c r="M37" i="5"/>
  <c r="D38" i="5" s="1"/>
  <c r="L36" i="5"/>
  <c r="L37" i="5"/>
  <c r="T39" i="13" l="1"/>
  <c r="T40" i="13"/>
  <c r="T38" i="13"/>
  <c r="T34" i="13"/>
  <c r="M34" i="13" s="1"/>
  <c r="T37" i="13"/>
  <c r="AD25" i="14"/>
  <c r="T42" i="13"/>
  <c r="T32" i="13"/>
  <c r="M32" i="13" s="1"/>
  <c r="AE5" i="13"/>
  <c r="D28" i="13" s="1"/>
  <c r="T41" i="13"/>
  <c r="T43" i="13"/>
  <c r="T37" i="14"/>
  <c r="T38" i="14"/>
  <c r="M30" i="14"/>
  <c r="T31" i="13"/>
  <c r="M31" i="13" s="1"/>
  <c r="T35" i="13"/>
  <c r="M35" i="13" s="1"/>
  <c r="T44" i="13"/>
  <c r="S46" i="13"/>
  <c r="H30" i="13" s="1"/>
  <c r="L30" i="13"/>
  <c r="T45" i="14"/>
  <c r="T35" i="14"/>
  <c r="M35" i="14" s="1"/>
  <c r="L30" i="14"/>
  <c r="S46" i="14"/>
  <c r="H30" i="14" s="1"/>
  <c r="T30" i="13"/>
  <c r="L36" i="6"/>
  <c r="L37" i="6"/>
  <c r="T45" i="13"/>
  <c r="T36" i="13"/>
  <c r="T33" i="13"/>
  <c r="M33" i="13" s="1"/>
  <c r="AD25" i="13"/>
  <c r="M30" i="6"/>
  <c r="T46" i="6"/>
  <c r="T36" i="14"/>
  <c r="D40" i="5"/>
  <c r="D39" i="5"/>
  <c r="E41" i="5" s="1"/>
  <c r="D35" i="5" s="1"/>
  <c r="D34" i="5" s="1"/>
  <c r="T46" i="14" l="1"/>
  <c r="M37" i="14"/>
  <c r="M36" i="14"/>
  <c r="T46" i="13"/>
  <c r="M30" i="13"/>
  <c r="M36" i="6"/>
  <c r="M37" i="6"/>
  <c r="L37" i="13"/>
  <c r="L36" i="13"/>
  <c r="L37" i="14"/>
  <c r="L36" i="14"/>
  <c r="M36" i="13" l="1"/>
  <c r="M37" i="13"/>
  <c r="D40" i="14"/>
  <c r="D39" i="14"/>
  <c r="D38" i="14"/>
  <c r="E41" i="14" s="1"/>
  <c r="D35" i="14" s="1"/>
  <c r="D34" i="14" s="1"/>
  <c r="D38" i="6"/>
  <c r="D40" i="6"/>
  <c r="D39" i="6"/>
  <c r="E41" i="6" s="1"/>
  <c r="D35" i="6" s="1"/>
  <c r="D34" i="6" s="1"/>
  <c r="D40" i="13" l="1"/>
  <c r="D39" i="13"/>
  <c r="D38" i="13"/>
  <c r="E41" i="13" s="1"/>
  <c r="D35" i="13" s="1"/>
  <c r="D34" i="13" s="1"/>
</calcChain>
</file>

<file path=xl/comments1.xml><?xml version="1.0" encoding="utf-8"?>
<comments xmlns="http://schemas.openxmlformats.org/spreadsheetml/2006/main">
  <authors>
    <author>Benutzer</author>
  </authors>
  <commentList>
    <comment ref="L6" authorId="0" shapeId="0">
      <text>
        <r>
          <rPr>
            <b/>
            <sz val="9"/>
            <color indexed="81"/>
            <rFont val="Segoe UI"/>
            <family val="2"/>
          </rPr>
          <t>Schriftliche
Prüfung</t>
        </r>
        <r>
          <rPr>
            <sz val="9"/>
            <color indexed="81"/>
            <rFont val="Segoe UI"/>
            <family val="2"/>
          </rPr>
          <t xml:space="preserve">
</t>
        </r>
      </text>
    </comment>
    <comment ref="M6" authorId="0" shapeId="0">
      <text>
        <r>
          <rPr>
            <b/>
            <sz val="9"/>
            <color indexed="81"/>
            <rFont val="Segoe UI"/>
            <family val="2"/>
          </rPr>
          <t>Mündliche Prüfung</t>
        </r>
        <r>
          <rPr>
            <sz val="9"/>
            <color indexed="81"/>
            <rFont val="Segoe UI"/>
            <family val="2"/>
          </rPr>
          <t xml:space="preserve">
</t>
        </r>
      </text>
    </comment>
    <comment ref="N6" authorId="0" shapeId="0">
      <text>
        <r>
          <rPr>
            <b/>
            <sz val="9"/>
            <color indexed="81"/>
            <rFont val="Segoe UI"/>
            <family val="2"/>
          </rPr>
          <t xml:space="preserve">Prüfungsergebnis
</t>
        </r>
        <r>
          <rPr>
            <sz val="9"/>
            <color indexed="81"/>
            <rFont val="Segoe UI"/>
            <family val="2"/>
          </rPr>
          <t xml:space="preserve">
</t>
        </r>
      </text>
    </comment>
    <comment ref="O6" authorId="0" shapeId="0">
      <text>
        <r>
          <rPr>
            <b/>
            <sz val="9"/>
            <color indexed="81"/>
            <rFont val="Segoe UI"/>
            <family val="2"/>
          </rPr>
          <t>Gesamtergebnis</t>
        </r>
        <r>
          <rPr>
            <sz val="9"/>
            <color indexed="81"/>
            <rFont val="Segoe UI"/>
            <family val="2"/>
          </rPr>
          <t xml:space="preserve">
</t>
        </r>
      </text>
    </comment>
    <comment ref="D27" authorId="0" shapeId="0">
      <text>
        <r>
          <rPr>
            <sz val="12"/>
            <color indexed="81"/>
            <rFont val="Segoe UI"/>
            <family val="2"/>
          </rPr>
          <t>Es darf pro Fach nur eine Streichung vorgenommen werden</t>
        </r>
        <r>
          <rPr>
            <sz val="9"/>
            <color indexed="81"/>
            <rFont val="Segoe UI"/>
            <family val="2"/>
          </rPr>
          <t xml:space="preserve">
</t>
        </r>
      </text>
    </comment>
    <comment ref="D28" authorId="0" shapeId="0">
      <text>
        <r>
          <rPr>
            <b/>
            <sz val="9"/>
            <color indexed="81"/>
            <rFont val="Segoe UI"/>
            <family val="2"/>
          </rPr>
          <t>Zur Prüfung wird nicht zugelassen, wer durch die Einbringung von 25 HJE mehr als 2 GE schlechter als 4 Punkte in Nichtprüfungsfächern erhielte.</t>
        </r>
        <r>
          <rPr>
            <sz val="9"/>
            <color indexed="81"/>
            <rFont val="Segoe UI"/>
            <family val="2"/>
          </rPr>
          <t xml:space="preserve">
</t>
        </r>
      </text>
    </comment>
    <comment ref="L29" authorId="0" shapeId="0">
      <text>
        <r>
          <rPr>
            <sz val="9"/>
            <color indexed="81"/>
            <rFont val="Segoe UI"/>
            <family val="2"/>
          </rPr>
          <t xml:space="preserve">Halbjahresergebnisse
</t>
        </r>
      </text>
    </comment>
    <comment ref="M29" authorId="0" shapeId="0">
      <text>
        <r>
          <rPr>
            <sz val="9"/>
            <color indexed="81"/>
            <rFont val="Segoe UI"/>
            <family val="2"/>
          </rPr>
          <t>Gesamtergebnisse</t>
        </r>
        <r>
          <rPr>
            <sz val="9"/>
            <color indexed="81"/>
            <rFont val="Segoe UI"/>
            <family val="2"/>
          </rPr>
          <t xml:space="preserve">
</t>
        </r>
      </text>
    </comment>
    <comment ref="N29" authorId="0" shapeId="0">
      <text>
        <r>
          <rPr>
            <sz val="9"/>
            <color indexed="81"/>
            <rFont val="Segoe UI"/>
            <family val="2"/>
          </rPr>
          <t>Prüfungsergebnisse</t>
        </r>
      </text>
    </comment>
    <comment ref="J37" authorId="0" shapeId="0">
      <text>
        <r>
          <rPr>
            <b/>
            <sz val="9"/>
            <color indexed="81"/>
            <rFont val="Segoe UI"/>
            <family val="2"/>
          </rPr>
          <t xml:space="preserve">Anzahl &lt; 4 gewichtet, d.h. 0 Punkte zählen doppelt
</t>
        </r>
        <r>
          <rPr>
            <sz val="9"/>
            <color indexed="81"/>
            <rFont val="Segoe UI"/>
            <family val="2"/>
          </rPr>
          <t xml:space="preserve">
</t>
        </r>
      </text>
    </comment>
    <comment ref="C38" authorId="0" shapeId="0">
      <text>
        <r>
          <rPr>
            <b/>
            <sz val="9"/>
            <color indexed="81"/>
            <rFont val="Segoe UI"/>
            <family val="2"/>
          </rPr>
          <t>FOBOSO: 
1. höchstens zwei Prüfungsergebnisse und höchstens zwei Gesamtergebnisse in einbringungsfähigen
Fächern mit weniger als 4 Punkten erzielt werden</t>
        </r>
      </text>
    </comment>
  </commentList>
</comments>
</file>

<file path=xl/comments2.xml><?xml version="1.0" encoding="utf-8"?>
<comments xmlns="http://schemas.openxmlformats.org/spreadsheetml/2006/main">
  <authors>
    <author>Benutzer</author>
  </authors>
  <commentList>
    <comment ref="L6" authorId="0" shapeId="0">
      <text>
        <r>
          <rPr>
            <b/>
            <sz val="9"/>
            <color indexed="81"/>
            <rFont val="Segoe UI"/>
            <family val="2"/>
          </rPr>
          <t>Schriftliche 
Prüfung</t>
        </r>
        <r>
          <rPr>
            <sz val="9"/>
            <color indexed="81"/>
            <rFont val="Segoe UI"/>
            <family val="2"/>
          </rPr>
          <t xml:space="preserve">
</t>
        </r>
      </text>
    </comment>
    <comment ref="M6" authorId="0" shapeId="0">
      <text>
        <r>
          <rPr>
            <b/>
            <sz val="9"/>
            <color indexed="81"/>
            <rFont val="Segoe UI"/>
            <family val="2"/>
          </rPr>
          <t>Mündliche
Prüfung</t>
        </r>
        <r>
          <rPr>
            <sz val="9"/>
            <color indexed="81"/>
            <rFont val="Segoe UI"/>
            <family val="2"/>
          </rPr>
          <t xml:space="preserve">
</t>
        </r>
      </text>
    </comment>
    <comment ref="N6" authorId="0" shapeId="0">
      <text>
        <r>
          <rPr>
            <b/>
            <sz val="9"/>
            <color indexed="81"/>
            <rFont val="Segoe UI"/>
            <family val="2"/>
          </rPr>
          <t>Prüfungsergebnis</t>
        </r>
        <r>
          <rPr>
            <sz val="9"/>
            <color indexed="81"/>
            <rFont val="Segoe UI"/>
            <family val="2"/>
          </rPr>
          <t xml:space="preserve">
</t>
        </r>
      </text>
    </comment>
    <comment ref="O6" authorId="0" shapeId="0">
      <text>
        <r>
          <rPr>
            <b/>
            <sz val="9"/>
            <color indexed="81"/>
            <rFont val="Segoe UI"/>
            <family val="2"/>
          </rPr>
          <t xml:space="preserve">Gesamtergebnis
</t>
        </r>
        <r>
          <rPr>
            <sz val="9"/>
            <color indexed="81"/>
            <rFont val="Segoe UI"/>
            <family val="2"/>
          </rPr>
          <t xml:space="preserve">
</t>
        </r>
      </text>
    </comment>
    <comment ref="D27" authorId="0" shapeId="0">
      <text>
        <r>
          <rPr>
            <sz val="12"/>
            <color indexed="81"/>
            <rFont val="Segoe UI"/>
            <family val="2"/>
          </rPr>
          <t>Es darf pro Fach nur eine Streichung vorgenommen werden</t>
        </r>
        <r>
          <rPr>
            <sz val="9"/>
            <color indexed="81"/>
            <rFont val="Segoe UI"/>
            <family val="2"/>
          </rPr>
          <t xml:space="preserve">
</t>
        </r>
      </text>
    </comment>
    <comment ref="D28" authorId="0" shapeId="0">
      <text>
        <r>
          <rPr>
            <b/>
            <sz val="9"/>
            <color indexed="81"/>
            <rFont val="Segoe UI"/>
            <family val="2"/>
          </rPr>
          <t>Zur Prüfung wird nicht zugelassen, wer durch die Einbringung von 17 HJE mehr als 2 GE schlechter als 4 Punkte in Nichtprüfungsfächern erhielte.</t>
        </r>
        <r>
          <rPr>
            <sz val="9"/>
            <color indexed="81"/>
            <rFont val="Segoe UI"/>
            <family val="2"/>
          </rPr>
          <t xml:space="preserve">
</t>
        </r>
      </text>
    </comment>
    <comment ref="L29" authorId="0" shapeId="0">
      <text>
        <r>
          <rPr>
            <sz val="9"/>
            <color indexed="81"/>
            <rFont val="Segoe UI"/>
            <family val="2"/>
          </rPr>
          <t>Halbjahresergebnisse</t>
        </r>
        <r>
          <rPr>
            <sz val="9"/>
            <color indexed="81"/>
            <rFont val="Segoe UI"/>
            <family val="2"/>
          </rPr>
          <t xml:space="preserve">
</t>
        </r>
      </text>
    </comment>
    <comment ref="M29" authorId="0" shapeId="0">
      <text>
        <r>
          <rPr>
            <sz val="9"/>
            <color indexed="81"/>
            <rFont val="Segoe UI"/>
            <family val="2"/>
          </rPr>
          <t xml:space="preserve">Gesamtergebnisse
</t>
        </r>
      </text>
    </comment>
    <comment ref="N29" authorId="0" shapeId="0">
      <text>
        <r>
          <rPr>
            <sz val="9"/>
            <color indexed="81"/>
            <rFont val="Segoe UI"/>
            <family val="2"/>
          </rPr>
          <t xml:space="preserve">Prüfungsergebnisse
</t>
        </r>
      </text>
    </comment>
    <comment ref="J37" authorId="0" shapeId="0">
      <text>
        <r>
          <rPr>
            <b/>
            <sz val="9"/>
            <color indexed="81"/>
            <rFont val="Segoe UI"/>
            <family val="2"/>
          </rPr>
          <t>Anzahl &lt; 4 gewichtet, d.h. 0 Punkte zählen doppelt</t>
        </r>
        <r>
          <rPr>
            <sz val="9"/>
            <color indexed="81"/>
            <rFont val="Segoe UI"/>
            <family val="2"/>
          </rPr>
          <t xml:space="preserve">
</t>
        </r>
      </text>
    </comment>
    <comment ref="C38" authorId="0" shapeId="0">
      <text>
        <r>
          <rPr>
            <b/>
            <sz val="9"/>
            <color indexed="81"/>
            <rFont val="Segoe UI"/>
            <family val="2"/>
          </rPr>
          <t>FOBOSO: 
1. höchstens zwei Prüfungsergebnisse und höchstens zwei Gesamtergebnisse in einbringungsfähigen
Fächern mit weniger als 4 Punkten erzielt werden</t>
        </r>
      </text>
    </comment>
  </commentList>
</comments>
</file>

<file path=xl/comments3.xml><?xml version="1.0" encoding="utf-8"?>
<comments xmlns="http://schemas.openxmlformats.org/spreadsheetml/2006/main">
  <authors>
    <author>Benutzer</author>
  </authors>
  <commentList>
    <comment ref="L6" authorId="0" shapeId="0">
      <text>
        <r>
          <rPr>
            <b/>
            <sz val="9"/>
            <color indexed="81"/>
            <rFont val="Segoe UI"/>
            <family val="2"/>
          </rPr>
          <t>Schriftliche
Prüfung</t>
        </r>
        <r>
          <rPr>
            <sz val="9"/>
            <color indexed="81"/>
            <rFont val="Segoe UI"/>
            <family val="2"/>
          </rPr>
          <t xml:space="preserve">
</t>
        </r>
      </text>
    </comment>
    <comment ref="M6" authorId="0" shapeId="0">
      <text>
        <r>
          <rPr>
            <b/>
            <sz val="9"/>
            <color indexed="81"/>
            <rFont val="Segoe UI"/>
            <family val="2"/>
          </rPr>
          <t>Mündliche Prüfung</t>
        </r>
        <r>
          <rPr>
            <sz val="9"/>
            <color indexed="81"/>
            <rFont val="Segoe UI"/>
            <family val="2"/>
          </rPr>
          <t xml:space="preserve">
</t>
        </r>
      </text>
    </comment>
    <comment ref="N6" authorId="0" shapeId="0">
      <text>
        <r>
          <rPr>
            <b/>
            <sz val="9"/>
            <color indexed="81"/>
            <rFont val="Segoe UI"/>
            <family val="2"/>
          </rPr>
          <t xml:space="preserve">Prüfungsergebnis
</t>
        </r>
        <r>
          <rPr>
            <sz val="9"/>
            <color indexed="81"/>
            <rFont val="Segoe UI"/>
            <family val="2"/>
          </rPr>
          <t xml:space="preserve">
</t>
        </r>
      </text>
    </comment>
    <comment ref="O6" authorId="0" shapeId="0">
      <text>
        <r>
          <rPr>
            <b/>
            <sz val="9"/>
            <color indexed="81"/>
            <rFont val="Segoe UI"/>
            <family val="2"/>
          </rPr>
          <t>Gesamtergebnis</t>
        </r>
        <r>
          <rPr>
            <sz val="9"/>
            <color indexed="81"/>
            <rFont val="Segoe UI"/>
            <family val="2"/>
          </rPr>
          <t xml:space="preserve">
</t>
        </r>
      </text>
    </comment>
    <comment ref="D27" authorId="0" shapeId="0">
      <text>
        <r>
          <rPr>
            <sz val="12"/>
            <color indexed="81"/>
            <rFont val="Segoe UI"/>
            <family val="2"/>
          </rPr>
          <t>Es darf pro Fach nur eine Streichung vorgenommen werden</t>
        </r>
        <r>
          <rPr>
            <sz val="9"/>
            <color indexed="81"/>
            <rFont val="Segoe UI"/>
            <family val="2"/>
          </rPr>
          <t xml:space="preserve">
</t>
        </r>
      </text>
    </comment>
    <comment ref="D28" authorId="0" shapeId="0">
      <text>
        <r>
          <rPr>
            <b/>
            <sz val="9"/>
            <color indexed="81"/>
            <rFont val="Segoe UI"/>
            <family val="2"/>
          </rPr>
          <t>Zur Prüfung wird nicht zugelassen, wer durch die Einbringung von 25 HJE mehr als 2 GE schlechter als 4 Punkte in Nichtprüfungsfächern erhielte.</t>
        </r>
        <r>
          <rPr>
            <sz val="9"/>
            <color indexed="81"/>
            <rFont val="Segoe UI"/>
            <family val="2"/>
          </rPr>
          <t xml:space="preserve">
</t>
        </r>
      </text>
    </comment>
    <comment ref="L29" authorId="0" shapeId="0">
      <text>
        <r>
          <rPr>
            <sz val="9"/>
            <color indexed="81"/>
            <rFont val="Segoe UI"/>
            <family val="2"/>
          </rPr>
          <t xml:space="preserve">Halbjahresergebnisse
</t>
        </r>
      </text>
    </comment>
    <comment ref="M29" authorId="0" shapeId="0">
      <text>
        <r>
          <rPr>
            <sz val="9"/>
            <color indexed="81"/>
            <rFont val="Segoe UI"/>
            <family val="2"/>
          </rPr>
          <t>Gesamtergebnisse</t>
        </r>
        <r>
          <rPr>
            <sz val="9"/>
            <color indexed="81"/>
            <rFont val="Segoe UI"/>
            <family val="2"/>
          </rPr>
          <t xml:space="preserve">
</t>
        </r>
      </text>
    </comment>
    <comment ref="N29" authorId="0" shapeId="0">
      <text>
        <r>
          <rPr>
            <sz val="9"/>
            <color indexed="81"/>
            <rFont val="Segoe UI"/>
            <family val="2"/>
          </rPr>
          <t>Prüfungsergebnisse</t>
        </r>
      </text>
    </comment>
    <comment ref="J37" authorId="0" shapeId="0">
      <text>
        <r>
          <rPr>
            <b/>
            <sz val="9"/>
            <color indexed="81"/>
            <rFont val="Segoe UI"/>
            <family val="2"/>
          </rPr>
          <t xml:space="preserve">Anzahl &lt; 4 gewichtet, d.h. 0 Punkte zählen doppelt
</t>
        </r>
        <r>
          <rPr>
            <sz val="9"/>
            <color indexed="81"/>
            <rFont val="Segoe UI"/>
            <family val="2"/>
          </rPr>
          <t xml:space="preserve">
</t>
        </r>
      </text>
    </comment>
    <comment ref="C38" authorId="0" shapeId="0">
      <text>
        <r>
          <rPr>
            <b/>
            <sz val="9"/>
            <color indexed="81"/>
            <rFont val="Segoe UI"/>
            <family val="2"/>
          </rPr>
          <t>FOBOSO: 
1. höchstens zwei Prüfungsergebnisse und höchstens zwei Gesamtergebnisse in einbringungsfähigen
Fächern mit weniger als 4 Punkten erzielt werden</t>
        </r>
      </text>
    </comment>
  </commentList>
</comments>
</file>

<file path=xl/comments4.xml><?xml version="1.0" encoding="utf-8"?>
<comments xmlns="http://schemas.openxmlformats.org/spreadsheetml/2006/main">
  <authors>
    <author>Benutzer</author>
  </authors>
  <commentList>
    <comment ref="L6" authorId="0" shapeId="0">
      <text>
        <r>
          <rPr>
            <b/>
            <sz val="9"/>
            <color indexed="81"/>
            <rFont val="Segoe UI"/>
            <family val="2"/>
          </rPr>
          <t>Schriftliche
Prüfung</t>
        </r>
        <r>
          <rPr>
            <sz val="9"/>
            <color indexed="81"/>
            <rFont val="Segoe UI"/>
            <family val="2"/>
          </rPr>
          <t xml:space="preserve">
</t>
        </r>
      </text>
    </comment>
    <comment ref="M6" authorId="0" shapeId="0">
      <text>
        <r>
          <rPr>
            <b/>
            <sz val="9"/>
            <color indexed="81"/>
            <rFont val="Segoe UI"/>
            <family val="2"/>
          </rPr>
          <t>Mündliche Prüfung</t>
        </r>
        <r>
          <rPr>
            <sz val="9"/>
            <color indexed="81"/>
            <rFont val="Segoe UI"/>
            <family val="2"/>
          </rPr>
          <t xml:space="preserve">
</t>
        </r>
      </text>
    </comment>
    <comment ref="N6" authorId="0" shapeId="0">
      <text>
        <r>
          <rPr>
            <b/>
            <sz val="9"/>
            <color indexed="81"/>
            <rFont val="Segoe UI"/>
            <family val="2"/>
          </rPr>
          <t xml:space="preserve">Prüfungsergebnis
</t>
        </r>
        <r>
          <rPr>
            <sz val="9"/>
            <color indexed="81"/>
            <rFont val="Segoe UI"/>
            <family val="2"/>
          </rPr>
          <t xml:space="preserve">
</t>
        </r>
      </text>
    </comment>
    <comment ref="O6" authorId="0" shapeId="0">
      <text>
        <r>
          <rPr>
            <b/>
            <sz val="9"/>
            <color indexed="81"/>
            <rFont val="Segoe UI"/>
            <family val="2"/>
          </rPr>
          <t>Gesamtergebnis</t>
        </r>
        <r>
          <rPr>
            <sz val="9"/>
            <color indexed="81"/>
            <rFont val="Segoe UI"/>
            <family val="2"/>
          </rPr>
          <t xml:space="preserve">
</t>
        </r>
      </text>
    </comment>
    <comment ref="D27" authorId="0" shapeId="0">
      <text>
        <r>
          <rPr>
            <sz val="12"/>
            <color indexed="81"/>
            <rFont val="Segoe UI"/>
            <family val="2"/>
          </rPr>
          <t>Es darf pro Fach nur eine Streichung vorgenommen werden</t>
        </r>
        <r>
          <rPr>
            <sz val="9"/>
            <color indexed="81"/>
            <rFont val="Segoe UI"/>
            <family val="2"/>
          </rPr>
          <t xml:space="preserve">
</t>
        </r>
      </text>
    </comment>
    <comment ref="D28" authorId="0" shapeId="0">
      <text>
        <r>
          <rPr>
            <b/>
            <sz val="9"/>
            <color indexed="81"/>
            <rFont val="Segoe UI"/>
            <family val="2"/>
          </rPr>
          <t>Zur Prüfung wird nicht zugelassen, wer durch die Einbringung von 25 HJE mehr als 2 GE schlechter als 4 Punkte in Nichtprüfungsfächern erhielte.</t>
        </r>
        <r>
          <rPr>
            <sz val="9"/>
            <color indexed="81"/>
            <rFont val="Segoe UI"/>
            <family val="2"/>
          </rPr>
          <t xml:space="preserve">
</t>
        </r>
      </text>
    </comment>
    <comment ref="L29" authorId="0" shapeId="0">
      <text>
        <r>
          <rPr>
            <sz val="9"/>
            <color indexed="81"/>
            <rFont val="Segoe UI"/>
            <family val="2"/>
          </rPr>
          <t xml:space="preserve">Halbjahresergebnisse
</t>
        </r>
      </text>
    </comment>
    <comment ref="M29" authorId="0" shapeId="0">
      <text>
        <r>
          <rPr>
            <sz val="9"/>
            <color indexed="81"/>
            <rFont val="Segoe UI"/>
            <family val="2"/>
          </rPr>
          <t>Gesamtergebnisse</t>
        </r>
        <r>
          <rPr>
            <sz val="9"/>
            <color indexed="81"/>
            <rFont val="Segoe UI"/>
            <family val="2"/>
          </rPr>
          <t xml:space="preserve">
</t>
        </r>
      </text>
    </comment>
    <comment ref="N29" authorId="0" shapeId="0">
      <text>
        <r>
          <rPr>
            <sz val="9"/>
            <color indexed="81"/>
            <rFont val="Segoe UI"/>
            <family val="2"/>
          </rPr>
          <t>Prüfungsergebnisse</t>
        </r>
      </text>
    </comment>
    <comment ref="J37" authorId="0" shapeId="0">
      <text>
        <r>
          <rPr>
            <b/>
            <sz val="9"/>
            <color indexed="81"/>
            <rFont val="Segoe UI"/>
            <family val="2"/>
          </rPr>
          <t xml:space="preserve">Anzahl &lt; 4 gewichtet, d.h. 0 Punkte zählen doppelt
</t>
        </r>
        <r>
          <rPr>
            <sz val="9"/>
            <color indexed="81"/>
            <rFont val="Segoe UI"/>
            <family val="2"/>
          </rPr>
          <t xml:space="preserve">
</t>
        </r>
      </text>
    </comment>
    <comment ref="C38" authorId="0" shapeId="0">
      <text>
        <r>
          <rPr>
            <b/>
            <sz val="9"/>
            <color indexed="81"/>
            <rFont val="Segoe UI"/>
            <family val="2"/>
          </rPr>
          <t>FOBOSO: 
1. höchstens zwei Prüfungsergebnisse und höchstens zwei Gesamtergebnisse in einbringungsfähigen
Fächern mit weniger als 4 Punkten erzielt werden</t>
        </r>
      </text>
    </comment>
  </commentList>
</comments>
</file>

<file path=xl/comments5.xml><?xml version="1.0" encoding="utf-8"?>
<comments xmlns="http://schemas.openxmlformats.org/spreadsheetml/2006/main">
  <authors>
    <author>Benutzer</author>
  </authors>
  <commentList>
    <comment ref="L6" authorId="0" shapeId="0">
      <text>
        <r>
          <rPr>
            <b/>
            <sz val="9"/>
            <color indexed="81"/>
            <rFont val="Segoe UI"/>
            <family val="2"/>
          </rPr>
          <t>Schriftliche 
Prüfung</t>
        </r>
        <r>
          <rPr>
            <sz val="9"/>
            <color indexed="81"/>
            <rFont val="Segoe UI"/>
            <family val="2"/>
          </rPr>
          <t xml:space="preserve">
</t>
        </r>
      </text>
    </comment>
    <comment ref="M6" authorId="0" shapeId="0">
      <text>
        <r>
          <rPr>
            <b/>
            <sz val="9"/>
            <color indexed="81"/>
            <rFont val="Segoe UI"/>
            <family val="2"/>
          </rPr>
          <t>Mündliche
Prüfung</t>
        </r>
        <r>
          <rPr>
            <sz val="9"/>
            <color indexed="81"/>
            <rFont val="Segoe UI"/>
            <family val="2"/>
          </rPr>
          <t xml:space="preserve">
</t>
        </r>
      </text>
    </comment>
    <comment ref="N6" authorId="0" shapeId="0">
      <text>
        <r>
          <rPr>
            <b/>
            <sz val="9"/>
            <color indexed="81"/>
            <rFont val="Segoe UI"/>
            <family val="2"/>
          </rPr>
          <t>Prüfungsergebnis</t>
        </r>
        <r>
          <rPr>
            <sz val="9"/>
            <color indexed="81"/>
            <rFont val="Segoe UI"/>
            <family val="2"/>
          </rPr>
          <t xml:space="preserve">
</t>
        </r>
      </text>
    </comment>
    <comment ref="O6" authorId="0" shapeId="0">
      <text>
        <r>
          <rPr>
            <b/>
            <sz val="9"/>
            <color indexed="81"/>
            <rFont val="Segoe UI"/>
            <family val="2"/>
          </rPr>
          <t xml:space="preserve">Gesamtergebnis
</t>
        </r>
        <r>
          <rPr>
            <sz val="9"/>
            <color indexed="81"/>
            <rFont val="Segoe UI"/>
            <family val="2"/>
          </rPr>
          <t xml:space="preserve">
</t>
        </r>
      </text>
    </comment>
    <comment ref="D27" authorId="0" shapeId="0">
      <text>
        <r>
          <rPr>
            <sz val="12"/>
            <color indexed="81"/>
            <rFont val="Segoe UI"/>
            <family val="2"/>
          </rPr>
          <t>Es darf pro Fach nur eine Streichung vorgenommen werden</t>
        </r>
        <r>
          <rPr>
            <sz val="9"/>
            <color indexed="81"/>
            <rFont val="Segoe UI"/>
            <family val="2"/>
          </rPr>
          <t xml:space="preserve">
</t>
        </r>
      </text>
    </comment>
    <comment ref="D28" authorId="0" shapeId="0">
      <text>
        <r>
          <rPr>
            <b/>
            <sz val="9"/>
            <color indexed="81"/>
            <rFont val="Segoe UI"/>
            <family val="2"/>
          </rPr>
          <t>Zur Prüfung wird nicht zugelassen, wer durch die Einbringung von 17 HJE mehr als 2 GE schlechter als 4 Punkte in Nichtprüfungsfächern erhielte.</t>
        </r>
        <r>
          <rPr>
            <sz val="9"/>
            <color indexed="81"/>
            <rFont val="Segoe UI"/>
            <family val="2"/>
          </rPr>
          <t xml:space="preserve">
</t>
        </r>
      </text>
    </comment>
    <comment ref="L29" authorId="0" shapeId="0">
      <text>
        <r>
          <rPr>
            <sz val="9"/>
            <color indexed="81"/>
            <rFont val="Segoe UI"/>
            <family val="2"/>
          </rPr>
          <t>Halbjahresergebnisse</t>
        </r>
        <r>
          <rPr>
            <sz val="9"/>
            <color indexed="81"/>
            <rFont val="Segoe UI"/>
            <family val="2"/>
          </rPr>
          <t xml:space="preserve">
</t>
        </r>
      </text>
    </comment>
    <comment ref="M29" authorId="0" shapeId="0">
      <text>
        <r>
          <rPr>
            <sz val="9"/>
            <color indexed="81"/>
            <rFont val="Segoe UI"/>
            <family val="2"/>
          </rPr>
          <t xml:space="preserve">Gesamtergebnisse
</t>
        </r>
      </text>
    </comment>
    <comment ref="N29" authorId="0" shapeId="0">
      <text>
        <r>
          <rPr>
            <sz val="9"/>
            <color indexed="81"/>
            <rFont val="Segoe UI"/>
            <family val="2"/>
          </rPr>
          <t xml:space="preserve">Prüfungsergebnisse
</t>
        </r>
      </text>
    </comment>
    <comment ref="J37" authorId="0" shapeId="0">
      <text>
        <r>
          <rPr>
            <b/>
            <sz val="9"/>
            <color indexed="81"/>
            <rFont val="Segoe UI"/>
            <family val="2"/>
          </rPr>
          <t>Anzahl &lt; 4 gewichtet, d.h. 0 Punkte zählen doppelt</t>
        </r>
        <r>
          <rPr>
            <sz val="9"/>
            <color indexed="81"/>
            <rFont val="Segoe UI"/>
            <family val="2"/>
          </rPr>
          <t xml:space="preserve">
</t>
        </r>
      </text>
    </comment>
    <comment ref="C38" authorId="0" shapeId="0">
      <text>
        <r>
          <rPr>
            <b/>
            <sz val="9"/>
            <color indexed="81"/>
            <rFont val="Segoe UI"/>
            <family val="2"/>
          </rPr>
          <t>FOBOSO: 
1. höchstens zwei Prüfungsergebnisse und höchstens zwei Gesamtergebnisse in einbringungsfähigen
Fächern mit weniger als 4 Punkten erzielt werden</t>
        </r>
      </text>
    </comment>
  </commentList>
</comments>
</file>

<file path=xl/sharedStrings.xml><?xml version="1.0" encoding="utf-8"?>
<sst xmlns="http://schemas.openxmlformats.org/spreadsheetml/2006/main" count="566" uniqueCount="188">
  <si>
    <t>11/1</t>
  </si>
  <si>
    <t>11/2</t>
  </si>
  <si>
    <t>12/1</t>
  </si>
  <si>
    <t>12/2</t>
  </si>
  <si>
    <t>Religionslehre/Ethik</t>
  </si>
  <si>
    <t>Deutsch</t>
  </si>
  <si>
    <t>Englisch</t>
  </si>
  <si>
    <t>Geschichte</t>
  </si>
  <si>
    <t>Sozialkunde</t>
  </si>
  <si>
    <t>Mathematik</t>
  </si>
  <si>
    <t>Profilfach 1</t>
  </si>
  <si>
    <t>Profilfach 2</t>
  </si>
  <si>
    <t>Profilfach 3</t>
  </si>
  <si>
    <t>Profilfach 4</t>
  </si>
  <si>
    <t>Wahlpflichtfach 1</t>
  </si>
  <si>
    <t>Wahlpflichtfach 2</t>
  </si>
  <si>
    <t>Wahlpflichtfach 3</t>
  </si>
  <si>
    <t>Fachreferat</t>
  </si>
  <si>
    <t>Fachpraktische Ausbildung</t>
  </si>
  <si>
    <t>sP</t>
  </si>
  <si>
    <t>mP</t>
  </si>
  <si>
    <t>Abschlussprüfung FOS 12</t>
  </si>
  <si>
    <t>Punktezahl Fachreferat</t>
  </si>
  <si>
    <t>Durchschnittsnote:</t>
  </si>
  <si>
    <t>Punkte</t>
  </si>
  <si>
    <t>Streichungen überprüfen</t>
  </si>
  <si>
    <t xml:space="preserve">B-A </t>
  </si>
  <si>
    <t>Aspekte der Biologie</t>
  </si>
  <si>
    <t xml:space="preserve">Bte </t>
  </si>
  <si>
    <t>Biotechnologie</t>
  </si>
  <si>
    <t xml:space="preserve">C-A </t>
  </si>
  <si>
    <t>Aspekte der Chemie</t>
  </si>
  <si>
    <t xml:space="preserve">EBC </t>
  </si>
  <si>
    <t>English Book Club</t>
  </si>
  <si>
    <t xml:space="preserve">F </t>
  </si>
  <si>
    <t>Französisch</t>
  </si>
  <si>
    <t xml:space="preserve">F-f </t>
  </si>
  <si>
    <t>Französisch (fortgeführt)</t>
  </si>
  <si>
    <t xml:space="preserve">GEx </t>
  </si>
  <si>
    <t>Experimentelles Gestalten</t>
  </si>
  <si>
    <t xml:space="preserve">GSz </t>
  </si>
  <si>
    <t xml:space="preserve">IBS </t>
  </si>
  <si>
    <t>International Business Studies</t>
  </si>
  <si>
    <t xml:space="preserve">Inf </t>
  </si>
  <si>
    <t>Informatik</t>
  </si>
  <si>
    <t xml:space="preserve">IPo </t>
  </si>
  <si>
    <t>Internationale Politik</t>
  </si>
  <si>
    <t xml:space="preserve">It </t>
  </si>
  <si>
    <t>Italienisch</t>
  </si>
  <si>
    <t xml:space="preserve">Ku </t>
  </si>
  <si>
    <t xml:space="preserve">L </t>
  </si>
  <si>
    <t>Latein</t>
  </si>
  <si>
    <t xml:space="preserve">M+ </t>
  </si>
  <si>
    <t>Mathematik Additum</t>
  </si>
  <si>
    <t xml:space="preserve">Mu </t>
  </si>
  <si>
    <t xml:space="preserve">Ph+ </t>
  </si>
  <si>
    <t>Physik (Additum)</t>
  </si>
  <si>
    <t xml:space="preserve">PhA </t>
  </si>
  <si>
    <t>Aspekte der Physik</t>
  </si>
  <si>
    <t xml:space="preserve">PsA </t>
  </si>
  <si>
    <t>Aspekte der Psychologie</t>
  </si>
  <si>
    <t xml:space="preserve">RGw </t>
  </si>
  <si>
    <t>Gesundheitswirtschaft und Recht</t>
  </si>
  <si>
    <t xml:space="preserve">Ru </t>
  </si>
  <si>
    <t>Russisch</t>
  </si>
  <si>
    <t xml:space="preserve">S </t>
  </si>
  <si>
    <t xml:space="preserve">S+A </t>
  </si>
  <si>
    <t xml:space="preserve">SGe </t>
  </si>
  <si>
    <t>Spektrum der Gesundheit</t>
  </si>
  <si>
    <t xml:space="preserve">SoP </t>
  </si>
  <si>
    <t>Sozialpsychologie</t>
  </si>
  <si>
    <t xml:space="preserve">Soz </t>
  </si>
  <si>
    <t>Soziologie</t>
  </si>
  <si>
    <t xml:space="preserve">Sp </t>
  </si>
  <si>
    <t>Spanisch</t>
  </si>
  <si>
    <t xml:space="preserve">Spf </t>
  </si>
  <si>
    <t>Spanisch (fortgeführt)</t>
  </si>
  <si>
    <t xml:space="preserve">WAk </t>
  </si>
  <si>
    <t>Wirtschaft Aktuell</t>
  </si>
  <si>
    <t xml:space="preserve">WR </t>
  </si>
  <si>
    <t>Wirtschaft und Recht</t>
  </si>
  <si>
    <t>WPF 1</t>
  </si>
  <si>
    <t>WPF 2</t>
  </si>
  <si>
    <t>WPF 3</t>
  </si>
  <si>
    <t>Wahlpflichtfächer</t>
  </si>
  <si>
    <t>Physik</t>
  </si>
  <si>
    <t>BWR</t>
  </si>
  <si>
    <t>IBV</t>
  </si>
  <si>
    <t>Päd./Psy.</t>
  </si>
  <si>
    <t>Biologie</t>
  </si>
  <si>
    <t>Gesundheitswissenschaften</t>
  </si>
  <si>
    <t>Gestaltung</t>
  </si>
  <si>
    <t>Gestaltung Praxis</t>
  </si>
  <si>
    <t>Technologie</t>
  </si>
  <si>
    <t>Chemie</t>
  </si>
  <si>
    <t>VWL</t>
  </si>
  <si>
    <t>Sozialwirtschaft und Recht</t>
  </si>
  <si>
    <t>Gestaltung Theorie</t>
  </si>
  <si>
    <t>Medien</t>
  </si>
  <si>
    <t>Rechtslehre</t>
  </si>
  <si>
    <t>Kom./Int.</t>
  </si>
  <si>
    <t>Naturwissenschaften</t>
  </si>
  <si>
    <t>Mathe Additum</t>
  </si>
  <si>
    <t>IBS</t>
  </si>
  <si>
    <t>Anzahl 0:</t>
  </si>
  <si>
    <t>Anzahl 1:</t>
  </si>
  <si>
    <t>Anzahl 2:</t>
  </si>
  <si>
    <t>Anzahl 3:</t>
  </si>
  <si>
    <t>Fachabitur:</t>
  </si>
  <si>
    <t>11/1 einbr</t>
  </si>
  <si>
    <t>11/2 einbr</t>
  </si>
  <si>
    <t>12/1 einbr</t>
  </si>
  <si>
    <t>12/2 einbr</t>
  </si>
  <si>
    <t>Name: _____________________________</t>
  </si>
  <si>
    <t>S</t>
  </si>
  <si>
    <t>EB</t>
  </si>
  <si>
    <t>T</t>
  </si>
  <si>
    <t>Technik</t>
  </si>
  <si>
    <t>ABU</t>
  </si>
  <si>
    <t>W</t>
  </si>
  <si>
    <t>Wirtschaft</t>
  </si>
  <si>
    <t>IW</t>
  </si>
  <si>
    <t>Int. Wirtschaft</t>
  </si>
  <si>
    <t>Franz./Span.</t>
  </si>
  <si>
    <t>Sozialwesen</t>
  </si>
  <si>
    <t>Gdh</t>
  </si>
  <si>
    <t>Gesundheit</t>
  </si>
  <si>
    <t>Gst</t>
  </si>
  <si>
    <t>kein</t>
  </si>
  <si>
    <t>-</t>
  </si>
  <si>
    <t>Sport*</t>
  </si>
  <si>
    <t>Musik*</t>
  </si>
  <si>
    <t>Kunst*</t>
  </si>
  <si>
    <t>Studier- und Arbeitstechniken*</t>
  </si>
  <si>
    <t>Szenisches Gestalten*</t>
  </si>
  <si>
    <t>Agrar</t>
  </si>
  <si>
    <t>x</t>
  </si>
  <si>
    <t>Profilfach 5</t>
  </si>
  <si>
    <t>(3) 1</t>
  </si>
  <si>
    <t>(3) 2</t>
  </si>
  <si>
    <t>(2h) 3</t>
  </si>
  <si>
    <t>(2v) 4</t>
  </si>
  <si>
    <t>(3) 5</t>
  </si>
  <si>
    <t>(3) 6</t>
  </si>
  <si>
    <t>Profilfach 6</t>
  </si>
  <si>
    <t>(2h) 7</t>
  </si>
  <si>
    <t>(2h) 8</t>
  </si>
  <si>
    <t>Anzahl</t>
  </si>
  <si>
    <t>Str.</t>
  </si>
  <si>
    <t>Anzahl 4:</t>
  </si>
  <si>
    <t>Anzahl 5:</t>
  </si>
  <si>
    <t>&lt; 4</t>
  </si>
  <si>
    <t>&lt; 4 (gew.):</t>
  </si>
  <si>
    <t>GE</t>
  </si>
  <si>
    <t>GE(eingebracht)</t>
  </si>
  <si>
    <t>Punktezahl FPA</t>
  </si>
  <si>
    <t>Punktezahl Prüfungen (dreifach)</t>
  </si>
  <si>
    <t xml:space="preserve"> Anzahl:</t>
  </si>
  <si>
    <t>Gesamt:</t>
  </si>
  <si>
    <t>* nicht einbringungsfähig</t>
  </si>
  <si>
    <t>Alle Berechnungen sind rechtlich nicht verbindlich!</t>
  </si>
  <si>
    <t xml:space="preserve">Ausbildungsrichtung:  </t>
  </si>
  <si>
    <t>Abschlussprüfung BOS 12</t>
  </si>
  <si>
    <t>Geschichte/Sozialkunde</t>
  </si>
  <si>
    <t>Punktezahl Prüfungen (zweifach)</t>
  </si>
  <si>
    <t>© H. Müller | T. Pickel (VBA) | M. Thoma (Gestaltung)</t>
  </si>
  <si>
    <r>
      <t xml:space="preserve">Zu streichende HJE mit </t>
    </r>
    <r>
      <rPr>
        <b/>
        <sz val="9"/>
        <color rgb="FFFF0000"/>
        <rFont val="Calibri"/>
        <family val="2"/>
        <scheme val="minor"/>
      </rPr>
      <t>x</t>
    </r>
    <r>
      <rPr>
        <sz val="9"/>
        <color theme="1"/>
        <rFont val="Calibri"/>
        <family val="2"/>
        <scheme val="minor"/>
      </rPr>
      <t xml:space="preserve"> markieren!</t>
    </r>
  </si>
  <si>
    <t>Punktezahl weiterer 25 HJE</t>
  </si>
  <si>
    <t>HJE</t>
  </si>
  <si>
    <t>PE</t>
  </si>
  <si>
    <r>
      <t xml:space="preserve">GE und PE je max. </t>
    </r>
    <r>
      <rPr>
        <b/>
        <sz val="10"/>
        <color rgb="FF333333"/>
        <rFont val="ArialMT"/>
      </rPr>
      <t xml:space="preserve">zwei </t>
    </r>
    <r>
      <rPr>
        <sz val="10"/>
        <color rgb="FF333333"/>
        <rFont val="ArialMT"/>
      </rPr>
      <t xml:space="preserve">mal &lt; 4 </t>
    </r>
  </si>
  <si>
    <t>Punktezahl weiterer 17 HJE</t>
  </si>
  <si>
    <t>Anzahl HJE</t>
  </si>
  <si>
    <t>Anzahl GE</t>
  </si>
  <si>
    <t>Anzahl PE</t>
  </si>
  <si>
    <t>Überprüfung nach § 35 (9):</t>
  </si>
  <si>
    <t>Überprüfung nach § 35 (9)</t>
  </si>
  <si>
    <t>bei 1 mal GE &lt; 4 mind. 200 Punkte</t>
  </si>
  <si>
    <t>bei 2 mal GE &lt; 4 mind. 240 Punkte</t>
  </si>
  <si>
    <t>bei 1 mal GE &lt; 4 mind. 130 Punkte</t>
  </si>
  <si>
    <t>bei 2 mal GE &lt; 4 mind. 156 Punkte</t>
  </si>
  <si>
    <t>Anzahl:</t>
  </si>
  <si>
    <t>Eingabe</t>
  </si>
  <si>
    <t>Wahlpflichtfach auswählen</t>
  </si>
  <si>
    <t>Anzahl GE(nichtprüfung)&lt;4</t>
  </si>
  <si>
    <t>Anzahl&lt;4 Nichtprüfung</t>
  </si>
  <si>
    <t>Version 08.02.19</t>
  </si>
  <si>
    <t>Max Musterfrau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</si>
</sst>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font>
      <sz val="12"/>
      <color theme="1"/>
      <name val="Calibri"/>
      <family val="2"/>
      <scheme val="minor"/>
    </font>
    <font>
      <b/>
      <sz val="12"/>
      <color theme="1"/>
      <name val="Calibri"/>
      <family val="2"/>
      <scheme val="minor"/>
    </font>
    <font>
      <sz val="12"/>
      <color theme="0"/>
      <name val="Calibri"/>
      <family val="2"/>
      <scheme val="minor"/>
    </font>
    <font>
      <sz val="16"/>
      <color theme="1"/>
      <name val="Calibri"/>
      <family val="2"/>
      <scheme val="minor"/>
    </font>
    <font>
      <b/>
      <sz val="9"/>
      <color indexed="81"/>
      <name val="Segoe UI"/>
      <family val="2"/>
    </font>
    <font>
      <sz val="10"/>
      <color rgb="FF333333"/>
      <name val="ArialMT"/>
    </font>
    <font>
      <b/>
      <sz val="10"/>
      <color rgb="FF333333"/>
      <name val="ArialMT"/>
    </font>
    <font>
      <i/>
      <sz val="12"/>
      <color theme="1"/>
      <name val="Calibri"/>
      <family val="2"/>
      <scheme val="minor"/>
    </font>
    <font>
      <sz val="9"/>
      <color indexed="81"/>
      <name val="Segoe UI"/>
      <family val="2"/>
    </font>
    <font>
      <sz val="12"/>
      <color indexed="81"/>
      <name val="Segoe UI"/>
      <family val="2"/>
    </font>
    <font>
      <sz val="9"/>
      <color theme="1"/>
      <name val="Calibri"/>
      <family val="2"/>
      <scheme val="minor"/>
    </font>
    <font>
      <b/>
      <sz val="12"/>
      <color rgb="FFFF0000"/>
      <name val="Calibri"/>
      <family val="2"/>
      <scheme val="minor"/>
    </font>
    <font>
      <b/>
      <sz val="9"/>
      <color rgb="FFFF0000"/>
      <name val="Calibri"/>
      <family val="2"/>
      <scheme val="minor"/>
    </font>
    <font>
      <sz val="12"/>
      <color theme="2" tint="-0.499984740745262"/>
      <name val="Calibri"/>
      <family val="2"/>
      <scheme val="minor"/>
    </font>
    <font>
      <b/>
      <sz val="16"/>
      <color theme="1"/>
      <name val="Calibri"/>
      <family val="2"/>
      <scheme val="minor"/>
    </font>
    <font>
      <b/>
      <sz val="12"/>
      <color theme="0"/>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4"/>
      <color theme="1"/>
      <name val="Calibri"/>
      <family val="2"/>
      <scheme val="minor"/>
    </font>
    <font>
      <sz val="10"/>
      <color theme="1"/>
      <name val="Calibri"/>
      <family val="2"/>
    </font>
    <font>
      <b/>
      <sz val="12"/>
      <color theme="0" tint="-0.34998626667073579"/>
      <name val="Calibri"/>
      <family val="2"/>
      <scheme val="minor"/>
    </font>
    <font>
      <sz val="12"/>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9">
    <xf numFmtId="0" fontId="0" fillId="0" borderId="0" xfId="0"/>
    <xf numFmtId="0" fontId="0" fillId="0" borderId="0" xfId="0" applyFill="1" applyBorder="1" applyAlignment="1" applyProtection="1">
      <alignment horizontal="center"/>
    </xf>
    <xf numFmtId="0" fontId="0" fillId="0" borderId="9" xfId="0" applyBorder="1" applyAlignment="1" applyProtection="1">
      <alignment horizontal="center"/>
    </xf>
    <xf numFmtId="0" fontId="0" fillId="0" borderId="9" xfId="0" applyFill="1" applyBorder="1" applyAlignment="1" applyProtection="1">
      <alignment horizontal="center"/>
    </xf>
    <xf numFmtId="0" fontId="0" fillId="0" borderId="11" xfId="0" applyFill="1" applyBorder="1" applyAlignment="1" applyProtection="1">
      <alignment horizontal="center"/>
    </xf>
    <xf numFmtId="0" fontId="0" fillId="5" borderId="12" xfId="0" applyFill="1" applyBorder="1" applyAlignment="1" applyProtection="1">
      <alignment horizontal="center"/>
      <protection locked="0"/>
    </xf>
    <xf numFmtId="0" fontId="0" fillId="0" borderId="12" xfId="0" applyBorder="1" applyAlignment="1" applyProtection="1">
      <alignment horizontal="center"/>
    </xf>
    <xf numFmtId="0" fontId="11" fillId="0" borderId="8" xfId="0" applyFont="1" applyFill="1" applyBorder="1" applyAlignment="1" applyProtection="1">
      <alignment horizontal="center"/>
      <protection locked="0"/>
    </xf>
    <xf numFmtId="0" fontId="13" fillId="5" borderId="9" xfId="0" applyFont="1"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0" borderId="13" xfId="0" applyBorder="1" applyAlignment="1" applyProtection="1">
      <alignment horizontal="center"/>
    </xf>
    <xf numFmtId="0" fontId="0" fillId="0" borderId="15" xfId="0" applyBorder="1" applyAlignment="1" applyProtection="1">
      <alignment horizontal="center"/>
    </xf>
    <xf numFmtId="0" fontId="11" fillId="0" borderId="17" xfId="0" applyFont="1" applyFill="1" applyBorder="1" applyAlignment="1" applyProtection="1">
      <alignment horizontal="center"/>
      <protection locked="0"/>
    </xf>
    <xf numFmtId="0" fontId="13" fillId="5" borderId="18" xfId="0" applyFont="1"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11" fillId="0" borderId="22" xfId="0" applyFont="1" applyFill="1" applyBorder="1" applyAlignment="1" applyProtection="1">
      <alignment horizontal="center"/>
      <protection locked="0"/>
    </xf>
    <xf numFmtId="0" fontId="0" fillId="0" borderId="23" xfId="0" applyBorder="1" applyAlignment="1" applyProtection="1">
      <alignment horizontal="center"/>
    </xf>
    <xf numFmtId="0" fontId="13" fillId="5" borderId="23" xfId="0" applyFont="1" applyFill="1" applyBorder="1" applyAlignment="1" applyProtection="1">
      <alignment horizontal="center"/>
      <protection locked="0"/>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11" fillId="0" borderId="28" xfId="0" applyFont="1" applyFill="1" applyBorder="1" applyAlignment="1" applyProtection="1">
      <alignment horizontal="center"/>
      <protection locked="0"/>
    </xf>
    <xf numFmtId="0" fontId="0" fillId="0" borderId="29" xfId="0" applyBorder="1" applyAlignment="1" applyProtection="1">
      <alignment horizontal="center"/>
    </xf>
    <xf numFmtId="0" fontId="13" fillId="5" borderId="29" xfId="0" applyFont="1" applyFill="1" applyBorder="1" applyAlignment="1" applyProtection="1">
      <alignment horizontal="center"/>
      <protection locked="0"/>
    </xf>
    <xf numFmtId="0" fontId="0" fillId="0" borderId="31" xfId="0" applyBorder="1" applyAlignment="1" applyProtection="1">
      <alignment horizontal="center"/>
    </xf>
    <xf numFmtId="0" fontId="0" fillId="0" borderId="32" xfId="0" applyBorder="1" applyAlignment="1" applyProtection="1">
      <alignment horizontal="center"/>
    </xf>
    <xf numFmtId="0" fontId="2" fillId="0" borderId="22" xfId="0" applyFont="1" applyFill="1" applyBorder="1" applyAlignment="1" applyProtection="1">
      <alignment horizontal="center"/>
    </xf>
    <xf numFmtId="0" fontId="0" fillId="5" borderId="23" xfId="0" applyFill="1" applyBorder="1" applyAlignment="1" applyProtection="1">
      <alignment horizontal="center"/>
      <protection locked="0"/>
    </xf>
    <xf numFmtId="0" fontId="0" fillId="0" borderId="22" xfId="0" applyBorder="1" applyAlignment="1" applyProtection="1">
      <alignment horizontal="center"/>
    </xf>
    <xf numFmtId="0" fontId="0" fillId="0" borderId="19" xfId="0" applyBorder="1" applyAlignment="1" applyProtection="1">
      <alignment horizontal="center"/>
    </xf>
    <xf numFmtId="0" fontId="0" fillId="0" borderId="11" xfId="0" applyBorder="1" applyAlignment="1" applyProtection="1">
      <alignment horizontal="center"/>
    </xf>
    <xf numFmtId="0" fontId="13" fillId="5" borderId="11" xfId="0" applyFont="1" applyFill="1" applyBorder="1" applyAlignment="1" applyProtection="1">
      <alignment horizontal="center"/>
      <protection locked="0"/>
    </xf>
    <xf numFmtId="0" fontId="0" fillId="0" borderId="24" xfId="0" applyBorder="1" applyAlignment="1" applyProtection="1">
      <alignment horizontal="center"/>
    </xf>
    <xf numFmtId="0" fontId="0" fillId="0" borderId="30" xfId="0" applyBorder="1" applyAlignment="1" applyProtection="1">
      <alignment horizontal="center"/>
    </xf>
    <xf numFmtId="0" fontId="0" fillId="5" borderId="24" xfId="0" applyFill="1" applyBorder="1" applyAlignment="1" applyProtection="1">
      <alignment horizontal="center"/>
      <protection locked="0"/>
    </xf>
    <xf numFmtId="0" fontId="7" fillId="0" borderId="33" xfId="0" applyFont="1" applyBorder="1" applyProtection="1">
      <protection locked="0"/>
    </xf>
    <xf numFmtId="0" fontId="7" fillId="0" borderId="10" xfId="0" applyFont="1" applyBorder="1" applyProtection="1">
      <protection locked="0"/>
    </xf>
    <xf numFmtId="0" fontId="13" fillId="5" borderId="19" xfId="0" applyFont="1" applyFill="1" applyBorder="1" applyAlignment="1" applyProtection="1">
      <alignment horizontal="center"/>
      <protection locked="0"/>
    </xf>
    <xf numFmtId="0" fontId="13" fillId="5" borderId="24" xfId="0" applyFont="1" applyFill="1" applyBorder="1" applyAlignment="1" applyProtection="1">
      <alignment horizontal="center"/>
      <protection locked="0"/>
    </xf>
    <xf numFmtId="0" fontId="13" fillId="5" borderId="30" xfId="0" applyFont="1" applyFill="1" applyBorder="1" applyAlignment="1" applyProtection="1">
      <alignment horizontal="center"/>
      <protection locked="0"/>
    </xf>
    <xf numFmtId="0" fontId="1" fillId="3" borderId="1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22" xfId="0"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Alignment="1" applyProtection="1">
      <alignment horizontal="center"/>
    </xf>
    <xf numFmtId="0" fontId="0" fillId="0" borderId="37" xfId="0" applyBorder="1" applyAlignment="1" applyProtection="1">
      <alignment horizontal="center"/>
    </xf>
    <xf numFmtId="0" fontId="0" fillId="0" borderId="16" xfId="0" applyBorder="1" applyAlignment="1" applyProtection="1">
      <alignment horizontal="center"/>
    </xf>
    <xf numFmtId="0" fontId="11" fillId="0" borderId="14" xfId="0" applyFont="1" applyFill="1" applyBorder="1" applyAlignment="1" applyProtection="1">
      <alignment horizontal="center"/>
      <protection locked="0"/>
    </xf>
    <xf numFmtId="0" fontId="13" fillId="5" borderId="16" xfId="0" applyFont="1" applyFill="1" applyBorder="1" applyAlignment="1" applyProtection="1">
      <alignment horizontal="center"/>
      <protection locked="0"/>
    </xf>
    <xf numFmtId="0" fontId="13" fillId="5" borderId="15" xfId="0" applyFont="1" applyFill="1" applyBorder="1" applyAlignment="1" applyProtection="1">
      <alignment horizontal="center"/>
      <protection locked="0"/>
    </xf>
    <xf numFmtId="0" fontId="0" fillId="0" borderId="41" xfId="0" applyBorder="1" applyAlignment="1" applyProtection="1">
      <alignment horizontal="center"/>
    </xf>
    <xf numFmtId="0" fontId="0" fillId="0" borderId="42" xfId="0" applyBorder="1" applyAlignment="1" applyProtection="1">
      <alignment horizontal="center"/>
    </xf>
    <xf numFmtId="0" fontId="0" fillId="0" borderId="43" xfId="0" applyBorder="1" applyAlignment="1" applyProtection="1">
      <alignment horizontal="center"/>
    </xf>
    <xf numFmtId="0" fontId="1" fillId="3" borderId="14" xfId="0" applyFont="1" applyFill="1" applyBorder="1" applyAlignment="1" applyProtection="1">
      <alignment horizontal="center"/>
    </xf>
    <xf numFmtId="0" fontId="1" fillId="3" borderId="28" xfId="0" applyFont="1" applyFill="1" applyBorder="1" applyAlignment="1" applyProtection="1">
      <alignment horizontal="center"/>
    </xf>
    <xf numFmtId="0" fontId="7" fillId="0" borderId="40" xfId="0" applyFont="1" applyBorder="1" applyProtection="1">
      <protection locked="0"/>
    </xf>
    <xf numFmtId="0" fontId="0" fillId="0" borderId="14" xfId="0" applyFill="1" applyBorder="1" applyAlignment="1" applyProtection="1">
      <alignment horizontal="center"/>
      <protection locked="0"/>
    </xf>
    <xf numFmtId="0" fontId="0" fillId="0" borderId="28" xfId="0" applyFill="1" applyBorder="1" applyAlignment="1" applyProtection="1">
      <alignment horizontal="center"/>
    </xf>
    <xf numFmtId="0" fontId="0" fillId="0" borderId="19" xfId="0" applyFill="1" applyBorder="1" applyAlignment="1" applyProtection="1">
      <alignment horizontal="center"/>
    </xf>
    <xf numFmtId="0" fontId="0" fillId="0" borderId="29" xfId="0" applyFill="1" applyBorder="1" applyAlignment="1" applyProtection="1">
      <alignment horizontal="center"/>
    </xf>
    <xf numFmtId="0" fontId="13" fillId="0" borderId="9"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0" fillId="0" borderId="24" xfId="0" applyFill="1" applyBorder="1" applyAlignment="1" applyProtection="1">
      <alignment horizontal="center"/>
    </xf>
    <xf numFmtId="0" fontId="0" fillId="0" borderId="23" xfId="0" applyFill="1" applyBorder="1" applyAlignment="1" applyProtection="1">
      <alignment horizontal="center"/>
    </xf>
    <xf numFmtId="0" fontId="0" fillId="0" borderId="16" xfId="0" applyFill="1" applyBorder="1" applyAlignment="1" applyProtection="1">
      <alignment horizontal="center"/>
    </xf>
    <xf numFmtId="0" fontId="0" fillId="0" borderId="15" xfId="0" applyFill="1" applyBorder="1" applyAlignment="1" applyProtection="1">
      <alignment horizontal="center"/>
    </xf>
    <xf numFmtId="0" fontId="0" fillId="0" borderId="30" xfId="0" applyFill="1" applyBorder="1" applyAlignment="1" applyProtection="1">
      <alignment horizontal="center"/>
    </xf>
    <xf numFmtId="0" fontId="0" fillId="0" borderId="13" xfId="0" applyFill="1" applyBorder="1" applyAlignment="1" applyProtection="1">
      <alignment horizontal="center"/>
    </xf>
    <xf numFmtId="0" fontId="0" fillId="0" borderId="12" xfId="0" applyFill="1" applyBorder="1" applyAlignment="1" applyProtection="1">
      <alignment horizontal="center"/>
    </xf>
    <xf numFmtId="0" fontId="1" fillId="0" borderId="8" xfId="0" applyFont="1" applyFill="1" applyBorder="1" applyAlignment="1" applyProtection="1">
      <alignment horizontal="center"/>
    </xf>
    <xf numFmtId="0" fontId="0" fillId="0" borderId="41" xfId="0" applyFill="1" applyBorder="1" applyAlignment="1" applyProtection="1">
      <alignment horizontal="center"/>
    </xf>
    <xf numFmtId="0" fontId="0" fillId="0" borderId="42" xfId="0" applyFill="1" applyBorder="1" applyAlignment="1" applyProtection="1">
      <alignment horizontal="center"/>
    </xf>
    <xf numFmtId="0" fontId="0" fillId="0" borderId="43" xfId="0" applyFill="1" applyBorder="1" applyAlignment="1" applyProtection="1">
      <alignment horizontal="center"/>
    </xf>
    <xf numFmtId="0" fontId="1" fillId="0" borderId="14" xfId="0" applyFont="1" applyFill="1" applyBorder="1" applyAlignment="1" applyProtection="1">
      <alignment horizontal="center"/>
    </xf>
    <xf numFmtId="0" fontId="2" fillId="0" borderId="47" xfId="0" applyFont="1" applyFill="1" applyBorder="1" applyAlignment="1" applyProtection="1">
      <alignment horizontal="center"/>
    </xf>
    <xf numFmtId="0" fontId="0" fillId="0" borderId="46" xfId="0" applyFill="1" applyBorder="1" applyAlignment="1" applyProtection="1">
      <alignment horizontal="center"/>
    </xf>
    <xf numFmtId="0" fontId="0" fillId="0" borderId="47" xfId="0" applyFill="1" applyBorder="1" applyAlignment="1" applyProtection="1">
      <alignment horizontal="center"/>
    </xf>
    <xf numFmtId="0" fontId="0" fillId="0" borderId="48" xfId="0" applyFill="1" applyBorder="1" applyAlignment="1" applyProtection="1">
      <alignment horizontal="center"/>
    </xf>
    <xf numFmtId="0" fontId="0" fillId="0" borderId="49" xfId="0" applyFill="1" applyBorder="1" applyAlignment="1" applyProtection="1">
      <alignment horizontal="center"/>
    </xf>
    <xf numFmtId="0" fontId="0" fillId="0" borderId="50" xfId="0" applyFill="1" applyBorder="1" applyAlignment="1" applyProtection="1">
      <alignment horizontal="center"/>
    </xf>
    <xf numFmtId="0" fontId="0" fillId="0" borderId="51" xfId="0" applyFill="1" applyBorder="1" applyAlignment="1" applyProtection="1">
      <alignment horizontal="center"/>
    </xf>
    <xf numFmtId="0" fontId="1" fillId="0" borderId="47" xfId="0" applyFont="1" applyFill="1" applyBorder="1" applyAlignment="1" applyProtection="1">
      <alignment horizontal="center"/>
    </xf>
    <xf numFmtId="0" fontId="0" fillId="0" borderId="4" xfId="0" applyFill="1" applyBorder="1" applyAlignment="1" applyProtection="1">
      <alignment horizontal="center"/>
    </xf>
    <xf numFmtId="0" fontId="0" fillId="0" borderId="5" xfId="0" applyFill="1" applyBorder="1" applyAlignment="1" applyProtection="1">
      <alignment horizontal="center"/>
    </xf>
    <xf numFmtId="0" fontId="0" fillId="0" borderId="52" xfId="0" applyBorder="1" applyAlignment="1" applyProtection="1">
      <alignment horizontal="center"/>
    </xf>
    <xf numFmtId="0" fontId="0" fillId="0" borderId="39" xfId="0" applyBorder="1" applyAlignment="1" applyProtection="1">
      <alignment horizontal="center"/>
    </xf>
    <xf numFmtId="0" fontId="0" fillId="0" borderId="53" xfId="0" applyBorder="1" applyAlignment="1" applyProtection="1">
      <alignment horizontal="center"/>
    </xf>
    <xf numFmtId="0" fontId="1" fillId="3" borderId="5" xfId="0" applyFont="1" applyFill="1" applyBorder="1" applyAlignment="1" applyProtection="1">
      <alignment horizontal="center"/>
    </xf>
    <xf numFmtId="0" fontId="11" fillId="0" borderId="47" xfId="0" applyFont="1" applyFill="1" applyBorder="1" applyAlignment="1" applyProtection="1">
      <alignment horizontal="center"/>
      <protection locked="0"/>
    </xf>
    <xf numFmtId="0" fontId="13" fillId="0" borderId="46" xfId="0" applyFont="1" applyFill="1" applyBorder="1" applyAlignment="1" applyProtection="1">
      <alignment horizontal="center"/>
      <protection locked="0"/>
    </xf>
    <xf numFmtId="0" fontId="13" fillId="0" borderId="48" xfId="0" applyFont="1" applyFill="1" applyBorder="1" applyAlignment="1" applyProtection="1">
      <alignment horizontal="center"/>
      <protection locked="0"/>
    </xf>
    <xf numFmtId="0" fontId="0" fillId="0" borderId="0" xfId="0" applyProtection="1"/>
    <xf numFmtId="0" fontId="0" fillId="0" borderId="0" xfId="0" applyAlignment="1" applyProtection="1">
      <alignment horizontal="center"/>
    </xf>
    <xf numFmtId="2" fontId="0" fillId="0" borderId="0" xfId="0" applyNumberFormat="1" applyProtection="1"/>
    <xf numFmtId="0" fontId="3" fillId="0" borderId="0" xfId="0" applyFont="1" applyAlignment="1" applyProtection="1">
      <alignment horizontal="left"/>
    </xf>
    <xf numFmtId="0" fontId="0" fillId="0" borderId="4" xfId="0" applyFont="1" applyBorder="1" applyAlignment="1" applyProtection="1">
      <alignment horizontal="right"/>
    </xf>
    <xf numFmtId="0" fontId="1" fillId="0" borderId="0" xfId="0" applyFont="1" applyFill="1" applyBorder="1" applyAlignment="1" applyProtection="1"/>
    <xf numFmtId="0" fontId="0" fillId="0" borderId="1" xfId="0" applyBorder="1" applyProtection="1"/>
    <xf numFmtId="49" fontId="0" fillId="3" borderId="4" xfId="0" applyNumberFormat="1" applyFill="1" applyBorder="1" applyAlignment="1" applyProtection="1">
      <alignment horizontal="center"/>
    </xf>
    <xf numFmtId="49" fontId="11" fillId="3" borderId="5" xfId="0" applyNumberFormat="1" applyFont="1" applyFill="1" applyBorder="1" applyAlignment="1" applyProtection="1">
      <alignment horizontal="center"/>
    </xf>
    <xf numFmtId="49" fontId="0" fillId="3" borderId="39" xfId="0" applyNumberFormat="1" applyFill="1" applyBorder="1" applyAlignment="1" applyProtection="1">
      <alignment horizontal="center"/>
    </xf>
    <xf numFmtId="49" fontId="0" fillId="3" borderId="5" xfId="0" applyNumberFormat="1" applyFill="1" applyBorder="1" applyAlignment="1" applyProtection="1">
      <alignment horizontal="center"/>
    </xf>
    <xf numFmtId="49" fontId="0" fillId="3" borderId="1" xfId="0" applyNumberFormat="1" applyFill="1" applyBorder="1" applyAlignment="1" applyProtection="1">
      <alignment horizontal="center"/>
    </xf>
    <xf numFmtId="49" fontId="0" fillId="0" borderId="0" xfId="0" applyNumberFormat="1" applyFill="1" applyBorder="1" applyAlignment="1" applyProtection="1">
      <alignment horizontal="center"/>
    </xf>
    <xf numFmtId="49" fontId="0" fillId="0" borderId="0" xfId="0" applyNumberFormat="1" applyFill="1" applyBorder="1" applyAlignment="1" applyProtection="1">
      <alignment horizontal="left"/>
    </xf>
    <xf numFmtId="49" fontId="0" fillId="0" borderId="1" xfId="0" applyNumberFormat="1" applyBorder="1" applyAlignment="1" applyProtection="1">
      <alignment horizontal="center"/>
    </xf>
    <xf numFmtId="49" fontId="0" fillId="0" borderId="1"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33" xfId="0" applyBorder="1" applyProtection="1"/>
    <xf numFmtId="0" fontId="11" fillId="0" borderId="17" xfId="0" applyFont="1" applyFill="1" applyBorder="1" applyAlignment="1" applyProtection="1">
      <alignment horizontal="center"/>
    </xf>
    <xf numFmtId="0" fontId="11" fillId="0" borderId="28" xfId="0" applyFont="1" applyFill="1" applyBorder="1" applyAlignment="1" applyProtection="1">
      <alignment horizontal="center"/>
    </xf>
    <xf numFmtId="1" fontId="0" fillId="0" borderId="0" xfId="0" applyNumberFormat="1" applyBorder="1" applyAlignment="1" applyProtection="1">
      <alignment horizontal="center"/>
    </xf>
    <xf numFmtId="0" fontId="0" fillId="0" borderId="10" xfId="0" applyBorder="1" applyProtection="1"/>
    <xf numFmtId="0" fontId="11" fillId="0" borderId="8" xfId="0" applyFont="1" applyFill="1" applyBorder="1" applyAlignment="1" applyProtection="1">
      <alignment horizontal="center"/>
    </xf>
    <xf numFmtId="0" fontId="1" fillId="2" borderId="36" xfId="0" applyFont="1" applyFill="1" applyBorder="1" applyAlignment="1" applyProtection="1">
      <alignment horizontal="center"/>
    </xf>
    <xf numFmtId="0" fontId="0" fillId="4" borderId="0" xfId="0" applyFill="1" applyProtection="1"/>
    <xf numFmtId="0" fontId="1" fillId="0" borderId="36" xfId="0" applyFont="1" applyFill="1" applyBorder="1" applyAlignment="1" applyProtection="1">
      <alignment horizontal="center"/>
    </xf>
    <xf numFmtId="0" fontId="0" fillId="0" borderId="34" xfId="0" applyBorder="1" applyProtection="1"/>
    <xf numFmtId="0" fontId="11" fillId="0" borderId="22" xfId="0" applyFont="1" applyFill="1" applyBorder="1" applyAlignment="1" applyProtection="1">
      <alignment horizontal="center"/>
    </xf>
    <xf numFmtId="0" fontId="1" fillId="0" borderId="37" xfId="0" applyFont="1" applyFill="1" applyBorder="1" applyAlignment="1" applyProtection="1">
      <alignment horizontal="center"/>
    </xf>
    <xf numFmtId="0" fontId="0" fillId="0" borderId="27" xfId="0" applyFont="1" applyBorder="1" applyProtection="1"/>
    <xf numFmtId="0" fontId="1" fillId="2" borderId="38" xfId="0" applyFont="1" applyFill="1" applyBorder="1" applyAlignment="1" applyProtection="1">
      <alignment horizontal="center"/>
    </xf>
    <xf numFmtId="0" fontId="0" fillId="0" borderId="10" xfId="0" applyFont="1" applyBorder="1" applyProtection="1"/>
    <xf numFmtId="0" fontId="0" fillId="0" borderId="9" xfId="0" applyFont="1" applyFill="1" applyBorder="1" applyAlignment="1" applyProtection="1">
      <alignment horizontal="center"/>
    </xf>
    <xf numFmtId="0" fontId="0" fillId="0" borderId="11" xfId="0" applyFont="1" applyFill="1" applyBorder="1" applyAlignment="1" applyProtection="1">
      <alignment horizontal="center"/>
    </xf>
    <xf numFmtId="0" fontId="0" fillId="0" borderId="40" xfId="0" applyFont="1" applyBorder="1" applyProtection="1"/>
    <xf numFmtId="0" fontId="11" fillId="0" borderId="14" xfId="0" applyFont="1" applyFill="1" applyBorder="1" applyAlignment="1" applyProtection="1">
      <alignment horizontal="center"/>
    </xf>
    <xf numFmtId="0" fontId="0" fillId="0" borderId="0" xfId="0" applyNumberFormat="1" applyBorder="1" applyAlignment="1" applyProtection="1">
      <alignment horizontal="center"/>
    </xf>
    <xf numFmtId="2" fontId="0" fillId="0" borderId="0" xfId="0" applyNumberFormat="1" applyBorder="1" applyProtection="1"/>
    <xf numFmtId="0" fontId="0" fillId="0" borderId="22" xfId="0" applyFill="1" applyBorder="1" applyAlignment="1" applyProtection="1">
      <alignment horizontal="center"/>
    </xf>
    <xf numFmtId="0" fontId="17" fillId="0" borderId="6" xfId="0" applyFont="1" applyFill="1" applyBorder="1" applyProtection="1"/>
    <xf numFmtId="0" fontId="0" fillId="0" borderId="1" xfId="0" applyFill="1" applyBorder="1" applyProtection="1"/>
    <xf numFmtId="0" fontId="0" fillId="0" borderId="4" xfId="0" applyBorder="1" applyProtection="1"/>
    <xf numFmtId="0" fontId="0" fillId="0" borderId="7" xfId="0" applyBorder="1" applyProtection="1"/>
    <xf numFmtId="0" fontId="0" fillId="0" borderId="5" xfId="0" applyBorder="1" applyProtection="1"/>
    <xf numFmtId="0" fontId="1" fillId="0" borderId="3" xfId="0" applyFont="1" applyBorder="1" applyAlignment="1" applyProtection="1"/>
    <xf numFmtId="0" fontId="1" fillId="0" borderId="0" xfId="0" applyFont="1" applyBorder="1" applyAlignment="1" applyProtection="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Border="1" applyAlignment="1" applyProtection="1">
      <alignment horizontal="right"/>
    </xf>
    <xf numFmtId="0" fontId="0" fillId="0" borderId="4" xfId="0" applyBorder="1" applyAlignment="1" applyProtection="1">
      <alignment horizontal="center"/>
    </xf>
    <xf numFmtId="0" fontId="7" fillId="0" borderId="3" xfId="0" applyFont="1" applyBorder="1" applyAlignment="1" applyProtection="1"/>
    <xf numFmtId="0" fontId="7" fillId="0" borderId="0" xfId="0" applyFont="1" applyBorder="1" applyAlignment="1" applyProtection="1"/>
    <xf numFmtId="0" fontId="7" fillId="0" borderId="0" xfId="0" applyFont="1" applyBorder="1" applyAlignment="1" applyProtection="1">
      <alignment horizontal="center"/>
    </xf>
    <xf numFmtId="0" fontId="7" fillId="0" borderId="2" xfId="0" applyFont="1" applyBorder="1" applyAlignment="1" applyProtection="1">
      <alignment horizontal="center"/>
    </xf>
    <xf numFmtId="0" fontId="1" fillId="0" borderId="5" xfId="0" applyFont="1" applyBorder="1" applyAlignment="1" applyProtection="1">
      <alignment horizontal="center"/>
    </xf>
    <xf numFmtId="0" fontId="1" fillId="0" borderId="7" xfId="0" applyFont="1" applyBorder="1" applyAlignment="1" applyProtection="1">
      <alignment horizontal="center"/>
    </xf>
    <xf numFmtId="0" fontId="0" fillId="3" borderId="1" xfId="0" applyFill="1" applyBorder="1" applyProtection="1"/>
    <xf numFmtId="0" fontId="5" fillId="0" borderId="1" xfId="0" applyFont="1" applyBorder="1" applyAlignment="1" applyProtection="1">
      <alignment wrapText="1"/>
    </xf>
    <xf numFmtId="0" fontId="0" fillId="0" borderId="6" xfId="0" applyBorder="1" applyAlignment="1" applyProtection="1"/>
    <xf numFmtId="0" fontId="0" fillId="0" borderId="0" xfId="0" applyBorder="1" applyAlignment="1" applyProtection="1">
      <alignment horizontal="center"/>
    </xf>
    <xf numFmtId="49" fontId="5" fillId="0" borderId="1" xfId="0" applyNumberFormat="1" applyFont="1" applyBorder="1" applyProtection="1"/>
    <xf numFmtId="0" fontId="0" fillId="0" borderId="1" xfId="0" applyBorder="1" applyAlignment="1" applyProtection="1">
      <alignment horizontal="center"/>
    </xf>
    <xf numFmtId="0" fontId="0" fillId="0" borderId="0" xfId="0" applyBorder="1" applyProtection="1"/>
    <xf numFmtId="0" fontId="2" fillId="0" borderId="0" xfId="0" applyFont="1" applyProtection="1"/>
    <xf numFmtId="0" fontId="0" fillId="0" borderId="0" xfId="0" applyBorder="1" applyAlignment="1" applyProtection="1"/>
    <xf numFmtId="0" fontId="0" fillId="4" borderId="1" xfId="0" applyFill="1" applyBorder="1" applyAlignment="1" applyProtection="1">
      <alignment horizontal="center"/>
    </xf>
    <xf numFmtId="49" fontId="0" fillId="0" borderId="4" xfId="0" applyNumberFormat="1" applyFill="1" applyBorder="1" applyAlignment="1" applyProtection="1">
      <alignment horizontal="center"/>
    </xf>
    <xf numFmtId="49" fontId="11" fillId="0" borderId="5" xfId="0" applyNumberFormat="1" applyFont="1" applyFill="1" applyBorder="1" applyAlignment="1" applyProtection="1">
      <alignment horizontal="center"/>
    </xf>
    <xf numFmtId="0" fontId="13" fillId="0" borderId="9" xfId="0" applyFont="1" applyFill="1" applyBorder="1" applyAlignment="1" applyProtection="1">
      <alignment horizontal="center"/>
    </xf>
    <xf numFmtId="0" fontId="0" fillId="0" borderId="0" xfId="0" applyFill="1" applyAlignment="1" applyProtection="1">
      <alignment horizontal="center"/>
    </xf>
    <xf numFmtId="0" fontId="0" fillId="0" borderId="10" xfId="0" applyFill="1" applyBorder="1" applyProtection="1"/>
    <xf numFmtId="0" fontId="13" fillId="0" borderId="11" xfId="0" applyFont="1" applyFill="1" applyBorder="1" applyAlignment="1" applyProtection="1">
      <alignment horizontal="center"/>
    </xf>
    <xf numFmtId="0" fontId="0" fillId="0" borderId="0" xfId="0" applyFill="1" applyProtection="1"/>
    <xf numFmtId="0" fontId="0" fillId="0" borderId="1" xfId="0" applyFill="1" applyBorder="1" applyAlignment="1" applyProtection="1">
      <alignment horizontal="center"/>
    </xf>
    <xf numFmtId="1" fontId="0" fillId="0" borderId="0" xfId="0" applyNumberFormat="1" applyFill="1" applyBorder="1" applyAlignment="1" applyProtection="1">
      <alignment horizontal="center"/>
    </xf>
    <xf numFmtId="0" fontId="0" fillId="0" borderId="54" xfId="0" applyFill="1" applyBorder="1" applyProtection="1"/>
    <xf numFmtId="0" fontId="11" fillId="0" borderId="47" xfId="0" applyFont="1" applyFill="1" applyBorder="1" applyAlignment="1" applyProtection="1">
      <alignment horizontal="center"/>
    </xf>
    <xf numFmtId="0" fontId="1" fillId="0" borderId="51" xfId="0" applyFont="1" applyFill="1" applyBorder="1" applyAlignment="1" applyProtection="1">
      <alignment horizontal="center"/>
    </xf>
    <xf numFmtId="0" fontId="13" fillId="0" borderId="18" xfId="0" applyFont="1" applyFill="1" applyBorder="1" applyAlignment="1" applyProtection="1">
      <alignment horizontal="center"/>
    </xf>
    <xf numFmtId="0" fontId="7" fillId="0" borderId="40" xfId="0" applyFont="1" applyFill="1" applyBorder="1" applyProtection="1"/>
    <xf numFmtId="0" fontId="13" fillId="0" borderId="16" xfId="0" applyFont="1" applyFill="1" applyBorder="1" applyAlignment="1" applyProtection="1">
      <alignment horizontal="center"/>
    </xf>
    <xf numFmtId="0" fontId="13" fillId="0" borderId="15" xfId="0" applyFont="1" applyFill="1" applyBorder="1" applyAlignment="1" applyProtection="1">
      <alignment horizontal="center"/>
    </xf>
    <xf numFmtId="0" fontId="0" fillId="0" borderId="14" xfId="0" applyFill="1" applyBorder="1" applyAlignment="1" applyProtection="1">
      <alignment horizontal="center"/>
    </xf>
    <xf numFmtId="0" fontId="0" fillId="0" borderId="34" xfId="0" applyFill="1" applyBorder="1" applyProtection="1"/>
    <xf numFmtId="2" fontId="0" fillId="0" borderId="0" xfId="0" applyNumberFormat="1" applyFill="1" applyBorder="1" applyProtection="1"/>
    <xf numFmtId="0" fontId="0" fillId="0" borderId="4" xfId="0" applyFill="1" applyBorder="1" applyProtection="1"/>
    <xf numFmtId="0" fontId="0" fillId="0" borderId="1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4" borderId="1" xfId="0" applyFill="1" applyBorder="1" applyProtection="1"/>
    <xf numFmtId="0" fontId="0" fillId="0" borderId="1" xfId="0" applyFont="1" applyBorder="1" applyProtection="1"/>
    <xf numFmtId="0" fontId="0" fillId="4" borderId="4" xfId="0" applyFill="1" applyBorder="1" applyAlignment="1" applyProtection="1">
      <alignment horizontal="center"/>
    </xf>
    <xf numFmtId="0" fontId="0" fillId="0" borderId="0" xfId="0" applyFill="1" applyBorder="1" applyProtection="1"/>
    <xf numFmtId="0" fontId="0" fillId="4" borderId="4" xfId="0" applyFill="1" applyBorder="1" applyProtection="1"/>
    <xf numFmtId="0" fontId="0" fillId="0" borderId="0" xfId="0" applyFont="1" applyFill="1" applyBorder="1" applyProtection="1"/>
    <xf numFmtId="0" fontId="2" fillId="7" borderId="44" xfId="0" applyFont="1" applyFill="1" applyBorder="1" applyAlignment="1" applyProtection="1">
      <alignment horizontal="center"/>
    </xf>
    <xf numFmtId="0" fontId="2" fillId="7" borderId="45" xfId="0" applyFont="1" applyFill="1" applyBorder="1" applyAlignment="1" applyProtection="1">
      <alignment horizontal="center"/>
    </xf>
    <xf numFmtId="0" fontId="0" fillId="0" borderId="4" xfId="0" applyFont="1" applyBorder="1" applyProtection="1"/>
    <xf numFmtId="0" fontId="1" fillId="0" borderId="7" xfId="0" applyFont="1" applyBorder="1" applyAlignment="1" applyProtection="1">
      <alignment horizontal="center"/>
    </xf>
    <xf numFmtId="0" fontId="0" fillId="0" borderId="4" xfId="0" applyBorder="1" applyAlignment="1" applyProtection="1">
      <alignment horizontal="center"/>
    </xf>
    <xf numFmtId="0" fontId="1" fillId="0" borderId="5" xfId="0" applyFont="1" applyBorder="1" applyAlignment="1" applyProtection="1">
      <alignment horizontal="center"/>
    </xf>
    <xf numFmtId="0" fontId="0" fillId="0" borderId="1" xfId="0" applyBorder="1" applyAlignment="1" applyProtection="1">
      <alignment horizontal="center"/>
    </xf>
    <xf numFmtId="0" fontId="20" fillId="0" borderId="0" xfId="0" applyFont="1" applyProtection="1"/>
    <xf numFmtId="0" fontId="0" fillId="3" borderId="7" xfId="0" applyFill="1" applyBorder="1" applyAlignment="1" applyProtection="1">
      <alignment horizontal="center"/>
    </xf>
    <xf numFmtId="0" fontId="0" fillId="3" borderId="5" xfId="0" applyFill="1" applyBorder="1" applyAlignment="1" applyProtection="1">
      <alignment horizontal="center"/>
    </xf>
    <xf numFmtId="0" fontId="0" fillId="3" borderId="7" xfId="0" applyFill="1" applyBorder="1" applyAlignment="1" applyProtection="1">
      <alignment horizontal="center"/>
    </xf>
    <xf numFmtId="0" fontId="0" fillId="3" borderId="5" xfId="0" applyFill="1" applyBorder="1" applyAlignment="1" applyProtection="1">
      <alignment horizontal="center"/>
    </xf>
    <xf numFmtId="0" fontId="1" fillId="3" borderId="7" xfId="0" applyFont="1" applyFill="1" applyBorder="1" applyAlignment="1" applyProtection="1">
      <alignment horizontal="center"/>
    </xf>
    <xf numFmtId="0" fontId="0" fillId="3" borderId="4" xfId="0" applyFill="1" applyBorder="1" applyProtection="1"/>
    <xf numFmtId="0" fontId="0" fillId="3" borderId="7" xfId="0" applyFill="1" applyBorder="1" applyProtection="1"/>
    <xf numFmtId="0" fontId="1" fillId="3" borderId="4" xfId="0" applyFont="1" applyFill="1" applyBorder="1" applyProtection="1"/>
    <xf numFmtId="0" fontId="1" fillId="3" borderId="7" xfId="0" applyFont="1" applyFill="1" applyBorder="1" applyProtection="1"/>
    <xf numFmtId="0" fontId="0" fillId="0" borderId="5" xfId="0" applyBorder="1" applyAlignment="1" applyProtection="1">
      <alignment horizontal="center"/>
    </xf>
    <xf numFmtId="0" fontId="21" fillId="3" borderId="22" xfId="0" applyFont="1" applyFill="1" applyBorder="1" applyAlignment="1" applyProtection="1">
      <alignment horizontal="center"/>
    </xf>
    <xf numFmtId="2" fontId="0" fillId="0" borderId="0" xfId="0" applyNumberFormat="1" applyFill="1" applyBorder="1" applyAlignment="1" applyProtection="1">
      <alignment horizontal="left"/>
    </xf>
    <xf numFmtId="1" fontId="0" fillId="0" borderId="1" xfId="0" applyNumberFormat="1" applyBorder="1" applyAlignment="1" applyProtection="1">
      <alignment horizontal="center"/>
    </xf>
    <xf numFmtId="1" fontId="1" fillId="0" borderId="0" xfId="0" applyNumberFormat="1" applyFont="1" applyBorder="1" applyAlignment="1" applyProtection="1">
      <alignment horizontal="center"/>
    </xf>
    <xf numFmtId="0" fontId="0" fillId="0" borderId="0" xfId="0" applyNumberFormat="1" applyAlignment="1" applyProtection="1">
      <alignment horizontal="center"/>
    </xf>
    <xf numFmtId="0" fontId="0" fillId="3" borderId="7" xfId="0" applyFill="1" applyBorder="1" applyAlignment="1" applyProtection="1">
      <alignment horizontal="center"/>
    </xf>
    <xf numFmtId="0" fontId="0" fillId="3" borderId="5" xfId="0" applyFill="1" applyBorder="1" applyAlignment="1" applyProtection="1">
      <alignment horizontal="center"/>
    </xf>
    <xf numFmtId="0" fontId="0" fillId="0" borderId="1" xfId="0" applyBorder="1" applyAlignment="1" applyProtection="1">
      <alignment horizontal="center"/>
    </xf>
    <xf numFmtId="0" fontId="0" fillId="0" borderId="4" xfId="0" applyBorder="1" applyAlignment="1" applyProtection="1">
      <alignment horizontal="center"/>
    </xf>
    <xf numFmtId="0" fontId="1" fillId="0" borderId="7" xfId="0" applyFont="1" applyBorder="1" applyAlignment="1" applyProtection="1">
      <alignment horizontal="center"/>
    </xf>
    <xf numFmtId="0" fontId="1" fillId="0" borderId="5" xfId="0" applyFont="1" applyBorder="1" applyAlignment="1" applyProtection="1">
      <alignment horizontal="center"/>
    </xf>
    <xf numFmtId="0" fontId="1" fillId="0" borderId="7" xfId="0" applyFont="1" applyBorder="1" applyAlignment="1" applyProtection="1">
      <alignment horizontal="center"/>
    </xf>
    <xf numFmtId="0" fontId="0" fillId="0" borderId="4" xfId="0" applyBorder="1" applyAlignment="1" applyProtection="1">
      <alignment horizontal="center"/>
    </xf>
    <xf numFmtId="0" fontId="1" fillId="0" borderId="5" xfId="0" applyFont="1" applyBorder="1" applyAlignment="1" applyProtection="1">
      <alignment horizontal="center"/>
    </xf>
    <xf numFmtId="0" fontId="0" fillId="3" borderId="7" xfId="0" applyFill="1" applyBorder="1" applyAlignment="1" applyProtection="1">
      <alignment horizontal="center"/>
    </xf>
    <xf numFmtId="0" fontId="0" fillId="3" borderId="5" xfId="0" applyFill="1" applyBorder="1" applyAlignment="1" applyProtection="1">
      <alignment horizontal="center"/>
    </xf>
    <xf numFmtId="0" fontId="0" fillId="0" borderId="1" xfId="0" applyBorder="1" applyAlignment="1" applyProtection="1">
      <alignment horizontal="center"/>
    </xf>
    <xf numFmtId="0" fontId="0" fillId="3" borderId="4" xfId="0" applyFill="1" applyBorder="1" applyAlignment="1" applyProtection="1">
      <alignment horizontal="center"/>
    </xf>
    <xf numFmtId="0" fontId="0" fillId="3" borderId="7" xfId="0" applyFill="1" applyBorder="1" applyAlignment="1" applyProtection="1">
      <alignment horizontal="center"/>
    </xf>
    <xf numFmtId="0" fontId="0" fillId="3" borderId="5" xfId="0" applyFill="1" applyBorder="1" applyAlignment="1" applyProtection="1">
      <alignment horizontal="center"/>
    </xf>
    <xf numFmtId="0" fontId="0" fillId="0" borderId="1" xfId="0" applyBorder="1" applyAlignment="1" applyProtection="1">
      <alignment horizontal="center" vertical="center"/>
    </xf>
    <xf numFmtId="0" fontId="0" fillId="0" borderId="1" xfId="0" applyBorder="1" applyAlignment="1" applyProtection="1">
      <alignment horizontal="center"/>
    </xf>
    <xf numFmtId="0" fontId="1" fillId="0" borderId="0" xfId="0" applyFont="1" applyAlignment="1" applyProtection="1">
      <alignment horizontal="center"/>
    </xf>
    <xf numFmtId="0" fontId="1" fillId="0" borderId="4" xfId="0" applyFont="1" applyBorder="1" applyAlignment="1" applyProtection="1">
      <alignment horizontal="center"/>
    </xf>
    <xf numFmtId="0" fontId="1" fillId="0" borderId="7" xfId="0" applyFont="1" applyBorder="1" applyAlignment="1" applyProtection="1">
      <alignment horizontal="center"/>
    </xf>
    <xf numFmtId="0" fontId="0" fillId="5" borderId="33" xfId="0" applyFill="1" applyBorder="1" applyAlignment="1" applyProtection="1">
      <alignment horizontal="center"/>
      <protection locked="0"/>
    </xf>
    <xf numFmtId="0" fontId="15" fillId="0" borderId="0" xfId="0" applyFont="1" applyBorder="1" applyAlignment="1" applyProtection="1">
      <alignment horizontal="center"/>
    </xf>
    <xf numFmtId="0" fontId="22" fillId="0" borderId="0" xfId="0" applyFont="1" applyFill="1" applyBorder="1" applyAlignment="1" applyProtection="1">
      <alignment horizontal="center"/>
    </xf>
    <xf numFmtId="0" fontId="0" fillId="0" borderId="4" xfId="0" applyBorder="1" applyAlignment="1" applyProtection="1">
      <alignment horizontal="center"/>
    </xf>
    <xf numFmtId="0" fontId="0" fillId="0" borderId="7" xfId="0" applyBorder="1" applyAlignment="1" applyProtection="1">
      <alignment horizontal="center"/>
    </xf>
    <xf numFmtId="164" fontId="11" fillId="3" borderId="4" xfId="0" applyNumberFormat="1" applyFont="1" applyFill="1" applyBorder="1" applyAlignment="1" applyProtection="1">
      <alignment horizontal="center"/>
    </xf>
    <xf numFmtId="164" fontId="11" fillId="3" borderId="7" xfId="0" applyNumberFormat="1" applyFont="1" applyFill="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10" fillId="0" borderId="0" xfId="0" applyFont="1" applyBorder="1" applyAlignment="1" applyProtection="1">
      <alignment horizontal="center"/>
    </xf>
    <xf numFmtId="0" fontId="14" fillId="0" borderId="0" xfId="0" applyFont="1" applyAlignment="1" applyProtection="1">
      <alignment horizontal="left"/>
    </xf>
    <xf numFmtId="0" fontId="19" fillId="0" borderId="46" xfId="0" applyFont="1" applyBorder="1" applyAlignment="1" applyProtection="1">
      <alignment horizontal="center"/>
      <protection locked="0"/>
    </xf>
    <xf numFmtId="22" fontId="16" fillId="0" borderId="0" xfId="0" applyNumberFormat="1" applyFont="1" applyAlignment="1" applyProtection="1">
      <alignment horizontal="center"/>
    </xf>
    <xf numFmtId="0" fontId="1" fillId="6" borderId="4"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1" fillId="6" borderId="5" xfId="0" applyFont="1" applyFill="1" applyBorder="1" applyAlignment="1" applyProtection="1">
      <alignment horizontal="center"/>
      <protection locked="0"/>
    </xf>
    <xf numFmtId="0" fontId="18" fillId="0" borderId="0" xfId="0" applyFont="1" applyBorder="1" applyAlignment="1" applyProtection="1">
      <alignment horizontal="center"/>
    </xf>
    <xf numFmtId="0" fontId="18" fillId="0" borderId="0" xfId="0" applyFont="1" applyAlignment="1" applyProtection="1">
      <alignment horizontal="center"/>
    </xf>
    <xf numFmtId="0" fontId="0" fillId="5" borderId="1" xfId="0" applyFill="1" applyBorder="1" applyAlignment="1" applyProtection="1">
      <alignment horizontal="center"/>
      <protection locked="0"/>
    </xf>
  </cellXfs>
  <cellStyles count="1">
    <cellStyle name="Standard" xfId="0" builtinId="0"/>
  </cellStyles>
  <dxfs count="268">
    <dxf>
      <font>
        <b/>
        <i val="0"/>
        <color theme="0"/>
      </font>
      <fill>
        <patternFill>
          <bgColor rgb="FFFF0000"/>
        </patternFill>
      </fill>
    </dxf>
    <dxf>
      <font>
        <b/>
        <i val="0"/>
        <color theme="0" tint="-0.34998626667073579"/>
      </font>
    </dxf>
    <dxf>
      <font>
        <b/>
        <i val="0"/>
        <color theme="0" tint="-0.34998626667073579"/>
      </font>
    </dxf>
    <dxf>
      <font>
        <b/>
        <i val="0"/>
        <color theme="1"/>
      </font>
      <fill>
        <patternFill>
          <bgColor rgb="FF92D050"/>
        </patternFill>
      </fill>
    </dxf>
    <dxf>
      <font>
        <b/>
        <i val="0"/>
        <color theme="0"/>
      </font>
      <fill>
        <patternFill>
          <bgColor rgb="FFFF000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color theme="0" tint="-0.499984740745262"/>
      </font>
    </dxf>
    <dxf>
      <font>
        <b/>
        <i val="0"/>
      </font>
    </dxf>
    <dxf>
      <font>
        <color theme="0" tint="-0.499984740745262"/>
      </font>
    </dxf>
    <dxf>
      <font>
        <b/>
        <i val="0"/>
      </font>
    </dxf>
    <dxf>
      <font>
        <color auto="1"/>
      </font>
      <fill>
        <patternFill>
          <bgColor theme="9"/>
        </patternFill>
      </fill>
    </dxf>
    <dxf>
      <font>
        <color theme="0"/>
      </font>
      <fill>
        <patternFill>
          <bgColor rgb="FFFF0000"/>
        </patternFill>
      </fill>
    </dxf>
    <dxf>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tint="-0.34998626667073579"/>
      </font>
    </dxf>
    <dxf>
      <font>
        <b/>
        <i val="0"/>
        <color theme="0" tint="-0.34998626667073579"/>
      </font>
    </dxf>
    <dxf>
      <font>
        <b/>
        <i val="0"/>
        <color theme="0" tint="-0.34998626667073579"/>
      </font>
    </dxf>
    <dxf>
      <font>
        <b/>
        <i val="0"/>
      </font>
      <fill>
        <patternFill>
          <bgColor rgb="FF92D050"/>
        </patternFill>
      </fill>
    </dxf>
    <dxf>
      <font>
        <b/>
        <i val="0"/>
        <color theme="0"/>
      </font>
      <fill>
        <patternFill>
          <bgColor rgb="FFFF000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color theme="0" tint="-0.499984740745262"/>
      </font>
    </dxf>
    <dxf>
      <font>
        <b/>
        <i val="0"/>
      </font>
    </dxf>
    <dxf>
      <font>
        <color theme="0" tint="-0.499984740745262"/>
      </font>
    </dxf>
    <dxf>
      <font>
        <b/>
        <i val="0"/>
      </font>
    </dxf>
    <dxf>
      <font>
        <color auto="1"/>
      </font>
      <fill>
        <patternFill>
          <bgColor theme="9"/>
        </patternFill>
      </fill>
    </dxf>
    <dxf>
      <font>
        <color theme="0"/>
      </font>
      <fill>
        <patternFill>
          <bgColor rgb="FFFF0000"/>
        </patternFill>
      </fill>
    </dxf>
    <dxf>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tint="-0.34998626667073579"/>
      </font>
    </dxf>
    <dxf>
      <font>
        <b/>
        <i val="0"/>
        <color theme="0" tint="-0.34998626667073579"/>
      </font>
    </dxf>
    <dxf>
      <font>
        <b/>
        <i val="0"/>
        <color theme="0" tint="-0.34998626667073579"/>
      </font>
    </dxf>
    <dxf>
      <font>
        <b/>
        <i val="0"/>
      </font>
      <fill>
        <patternFill>
          <bgColor rgb="FF92D050"/>
        </patternFill>
      </fill>
    </dxf>
    <dxf>
      <font>
        <b/>
        <i val="0"/>
        <color theme="0"/>
      </font>
      <fill>
        <patternFill>
          <bgColor rgb="FFFF000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color theme="0" tint="-0.499984740745262"/>
      </font>
    </dxf>
    <dxf>
      <font>
        <b/>
        <i val="0"/>
      </font>
    </dxf>
    <dxf>
      <font>
        <color theme="0" tint="-0.499984740745262"/>
      </font>
    </dxf>
    <dxf>
      <font>
        <b/>
        <i val="0"/>
      </font>
    </dxf>
    <dxf>
      <font>
        <color auto="1"/>
      </font>
      <fill>
        <patternFill>
          <bgColor theme="9"/>
        </patternFill>
      </fill>
    </dxf>
    <dxf>
      <font>
        <color theme="0"/>
      </font>
      <fill>
        <patternFill>
          <bgColor rgb="FFFF0000"/>
        </patternFill>
      </fill>
    </dxf>
    <dxf>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tint="-0.34998626667073579"/>
      </font>
    </dxf>
    <dxf>
      <font>
        <b/>
        <i val="0"/>
        <color theme="0" tint="-0.34998626667073579"/>
      </font>
    </dxf>
    <dxf>
      <font>
        <b/>
        <i val="0"/>
        <color theme="1"/>
      </font>
      <fill>
        <patternFill>
          <bgColor rgb="FF92D050"/>
        </patternFill>
      </fill>
    </dxf>
    <dxf>
      <font>
        <b/>
        <i val="0"/>
        <color theme="0"/>
      </font>
      <fill>
        <patternFill>
          <bgColor rgb="FFFF000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color theme="0" tint="-0.499984740745262"/>
      </font>
    </dxf>
    <dxf>
      <font>
        <b/>
        <i val="0"/>
      </font>
    </dxf>
    <dxf>
      <font>
        <color theme="0" tint="-0.499984740745262"/>
      </font>
    </dxf>
    <dxf>
      <font>
        <b/>
        <i val="0"/>
      </font>
    </dxf>
    <dxf>
      <font>
        <color auto="1"/>
      </font>
      <fill>
        <patternFill>
          <bgColor theme="9"/>
        </patternFill>
      </fill>
    </dxf>
    <dxf>
      <font>
        <color theme="0"/>
      </font>
      <fill>
        <patternFill>
          <bgColor rgb="FFFF0000"/>
        </patternFill>
      </fill>
    </dxf>
    <dxf>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tint="-0.34998626667073579"/>
      </font>
    </dxf>
    <dxf>
      <font>
        <b/>
        <i val="0"/>
        <color theme="0" tint="-0.34998626667073579"/>
      </font>
    </dxf>
    <dxf>
      <font>
        <b/>
        <i val="0"/>
        <color theme="0" tint="-0.34998626667073579"/>
      </font>
    </dxf>
    <dxf>
      <font>
        <b/>
        <i val="0"/>
      </font>
      <fill>
        <patternFill>
          <bgColor rgb="FF92D050"/>
        </patternFill>
      </fill>
    </dxf>
    <dxf>
      <font>
        <b/>
        <i val="0"/>
        <color theme="0"/>
      </font>
      <fill>
        <patternFill>
          <bgColor rgb="FFFF000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color theme="0" tint="-0.499984740745262"/>
      </font>
    </dxf>
    <dxf>
      <font>
        <b/>
        <i val="0"/>
      </font>
    </dxf>
    <dxf>
      <font>
        <color theme="0" tint="-0.499984740745262"/>
      </font>
    </dxf>
    <dxf>
      <font>
        <b/>
        <i val="0"/>
      </font>
    </dxf>
    <dxf>
      <font>
        <color auto="1"/>
      </font>
      <fill>
        <patternFill>
          <bgColor theme="9"/>
        </patternFill>
      </fill>
    </dxf>
    <dxf>
      <font>
        <color theme="0"/>
      </font>
      <fill>
        <patternFill>
          <bgColor rgb="FFFF0000"/>
        </patternFill>
      </fill>
    </dxf>
    <dxf>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16</xdr:col>
      <xdr:colOff>152400</xdr:colOff>
      <xdr:row>0</xdr:row>
      <xdr:rowOff>85724</xdr:rowOff>
    </xdr:from>
    <xdr:to>
      <xdr:col>22</xdr:col>
      <xdr:colOff>714375</xdr:colOff>
      <xdr:row>36</xdr:row>
      <xdr:rowOff>57149</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52400" y="85724"/>
          <a:ext cx="5591175" cy="71913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800"/>
            <a:t>Das Programm dient</a:t>
          </a:r>
          <a:r>
            <a:rPr lang="de-DE" sz="1800" baseline="0"/>
            <a:t> dazu, Schüler und Lehrer auf die neue Prüfungsordnung an der beruflichen Oberschule ab dem Schuljahr 2018/19 vorzubereiten und eigene Situationen, insbesondere den eigenen Streichvorschlag zu erstellen.</a:t>
          </a:r>
        </a:p>
        <a:p>
          <a:pPr algn="l"/>
          <a:endParaRPr lang="de-DE" sz="1800" baseline="0"/>
        </a:p>
        <a:p>
          <a:pPr algn="l"/>
          <a:r>
            <a:rPr lang="de-DE" sz="1800" baseline="0"/>
            <a:t>In dem Arbeitsblatt Demo FOS 12 sind bereits Noten eingetragen und einige Noten durch ein nebengestelltes x gestrichen. Es können damit verschiedene Strategien beim Streichen von Noten durchgespielt werden. Zudem können dann Noten für die schriftlichen Prüfungen eingetragen werden und die Auswirkungen eventueller mündlicher Prüfungen simuliert werden.</a:t>
          </a:r>
        </a:p>
        <a:p>
          <a:pPr algn="l"/>
          <a:endParaRPr lang="de-DE" sz="1800" baseline="0"/>
        </a:p>
        <a:p>
          <a:pPr algn="l"/>
          <a:r>
            <a:rPr lang="de-DE" sz="1800" baseline="0"/>
            <a:t>In den Arbeitsblättern FOS 12 und BOS 12 können von den Schülern die eigenen Noten eingetragen werden. In der Woche vor den Prüfungen erhalten die Schüler die letzten Halbjahresergebnisse (HJE) und einen Streichvorschlag von der Schule. Dieser kann mit dem Programm analysiert  und mögliche Änderungen vom Schüler bei der offiziellen Notenbekanntgabe erklärt werden.</a:t>
          </a:r>
        </a:p>
        <a:p>
          <a:pPr algn="l"/>
          <a:endParaRPr lang="de-DE" sz="1800" baseline="0"/>
        </a:p>
        <a:p>
          <a:pPr algn="l"/>
          <a:r>
            <a:rPr lang="de-DE" sz="1800" baseline="0"/>
            <a:t>Hinweis: Beim Start des Programms müssen Makros aktiviert werden.</a:t>
          </a:r>
          <a:endParaRPr lang="de-DE" sz="1800"/>
        </a:p>
      </xdr:txBody>
    </xdr:sp>
    <xdr:clientData/>
  </xdr:twoCellAnchor>
  <xdr:oneCellAnchor>
    <xdr:from>
      <xdr:col>23</xdr:col>
      <xdr:colOff>133350</xdr:colOff>
      <xdr:row>0</xdr:row>
      <xdr:rowOff>95250</xdr:rowOff>
    </xdr:from>
    <xdr:ext cx="6559744" cy="371475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000750" y="95250"/>
          <a:ext cx="6559744" cy="37147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1800"/>
            <a:t>Neuerungen:</a:t>
          </a:r>
        </a:p>
        <a:p>
          <a:endParaRPr lang="de-DE" sz="1800"/>
        </a:p>
        <a:p>
          <a:r>
            <a:rPr lang="de-DE" sz="1800" u="sng"/>
            <a:t>Version 23.01.19:</a:t>
          </a:r>
        </a:p>
        <a:p>
          <a:r>
            <a:rPr lang="de-DE" sz="1800"/>
            <a:t>1. In Prüfungsfächern wird die Gesamtnote erst eingetragen,</a:t>
          </a:r>
        </a:p>
        <a:p>
          <a:r>
            <a:rPr lang="de-DE" sz="1800"/>
            <a:t>wenn auch eine schriftliche Prüfung vorliegt.</a:t>
          </a:r>
        </a:p>
        <a:p>
          <a:r>
            <a:rPr lang="de-DE" sz="1800"/>
            <a:t>2. Sollten in Nichtprüfungsfächern mehr als zwei Gesamtergebnisse </a:t>
          </a:r>
        </a:p>
        <a:p>
          <a:r>
            <a:rPr lang="de-DE" sz="1800"/>
            <a:t>schlechter als 4 Punkte sein, so</a:t>
          </a:r>
          <a:r>
            <a:rPr lang="de-DE" sz="1800" baseline="0"/>
            <a:t> wird die Meldung </a:t>
          </a:r>
        </a:p>
        <a:p>
          <a:r>
            <a:rPr lang="de-DE" sz="1800" b="1" baseline="0">
              <a:solidFill>
                <a:srgbClr val="FF0000"/>
              </a:solidFill>
            </a:rPr>
            <a:t>Zur Prüfung nicht zugelassen</a:t>
          </a:r>
        </a:p>
        <a:p>
          <a:r>
            <a:rPr lang="de-DE" sz="1800" baseline="0"/>
            <a:t>ausgegeben. </a:t>
          </a:r>
        </a:p>
        <a:p>
          <a:endParaRPr lang="de-DE" sz="1800" baseline="0"/>
        </a:p>
        <a:p>
          <a:pPr marL="0" marR="0" lvl="0" indent="0" defTabSz="914400" eaLnBrk="1" fontAlgn="auto" latinLnBrk="0" hangingPunct="1">
            <a:lnSpc>
              <a:spcPct val="100000"/>
            </a:lnSpc>
            <a:spcBef>
              <a:spcPts val="0"/>
            </a:spcBef>
            <a:spcAft>
              <a:spcPts val="0"/>
            </a:spcAft>
            <a:buClrTx/>
            <a:buSzTx/>
            <a:buFontTx/>
            <a:buNone/>
            <a:tabLst/>
            <a:defRPr/>
          </a:pPr>
          <a:r>
            <a:rPr lang="de-DE" sz="1800" u="sng">
              <a:solidFill>
                <a:schemeClr val="tx1"/>
              </a:solidFill>
              <a:latin typeface="+mn-lt"/>
              <a:ea typeface="+mn-ea"/>
              <a:cs typeface="+mn-cs"/>
            </a:rPr>
            <a:t>Version 08.02.19:</a:t>
          </a:r>
        </a:p>
        <a:p>
          <a:pPr marL="0" marR="0" lvl="0" indent="0" defTabSz="914400" eaLnBrk="1" fontAlgn="auto" latinLnBrk="0" hangingPunct="1">
            <a:lnSpc>
              <a:spcPct val="100000"/>
            </a:lnSpc>
            <a:spcBef>
              <a:spcPts val="0"/>
            </a:spcBef>
            <a:spcAft>
              <a:spcPts val="0"/>
            </a:spcAft>
            <a:buClrTx/>
            <a:buSzTx/>
            <a:buFontTx/>
            <a:buNone/>
            <a:tabLst/>
            <a:defRPr/>
          </a:pPr>
          <a:r>
            <a:rPr lang="de-DE" sz="1800" u="none">
              <a:solidFill>
                <a:schemeClr val="tx1"/>
              </a:solidFill>
              <a:latin typeface="+mn-lt"/>
              <a:ea typeface="+mn-ea"/>
              <a:cs typeface="+mn-cs"/>
            </a:rPr>
            <a:t>Ist die Gesamtnote &lt;1,</a:t>
          </a:r>
          <a:r>
            <a:rPr lang="de-DE" sz="1800" u="none" baseline="0">
              <a:solidFill>
                <a:schemeClr val="tx1"/>
              </a:solidFill>
              <a:latin typeface="+mn-lt"/>
              <a:ea typeface="+mn-ea"/>
              <a:cs typeface="+mn-cs"/>
            </a:rPr>
            <a:t> so wird sie auf 0 abgerundet.</a:t>
          </a:r>
          <a:endParaRPr lang="de-DE" sz="1800" u="none">
            <a:solidFill>
              <a:schemeClr val="tx1"/>
            </a:solidFill>
            <a:latin typeface="+mn-lt"/>
            <a:ea typeface="+mn-ea"/>
            <a:cs typeface="+mn-cs"/>
          </a:endParaRPr>
        </a:p>
        <a:p>
          <a:endParaRPr lang="de-DE" sz="1800" baseline="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302876</xdr:colOff>
      <xdr:row>45</xdr:row>
      <xdr:rowOff>65542</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5365983" cy="89442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9</xdr:col>
      <xdr:colOff>170486</xdr:colOff>
      <xdr:row>35</xdr:row>
      <xdr:rowOff>37267</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371475"/>
          <a:ext cx="7714286" cy="6666667"/>
        </a:xfrm>
        <a:prstGeom prst="rect">
          <a:avLst/>
        </a:prstGeom>
      </xdr:spPr>
    </xdr:pic>
    <xdr:clientData/>
  </xdr:twoCellAnchor>
  <xdr:twoCellAnchor editAs="oneCell">
    <xdr:from>
      <xdr:col>9</xdr:col>
      <xdr:colOff>161925</xdr:colOff>
      <xdr:row>1</xdr:row>
      <xdr:rowOff>171450</xdr:rowOff>
    </xdr:from>
    <xdr:to>
      <xdr:col>18</xdr:col>
      <xdr:colOff>170506</xdr:colOff>
      <xdr:row>33</xdr:row>
      <xdr:rowOff>170650</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7705725" y="371475"/>
          <a:ext cx="7552381" cy="6400000"/>
        </a:xfrm>
        <a:prstGeom prst="rect">
          <a:avLst/>
        </a:prstGeom>
      </xdr:spPr>
    </xdr:pic>
    <xdr:clientData/>
  </xdr:twoCellAnchor>
  <xdr:oneCellAnchor>
    <xdr:from>
      <xdr:col>7</xdr:col>
      <xdr:colOff>38100</xdr:colOff>
      <xdr:row>1</xdr:row>
      <xdr:rowOff>95250</xdr:rowOff>
    </xdr:from>
    <xdr:ext cx="914994" cy="405432"/>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5905500" y="295275"/>
          <a:ext cx="914994"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000" b="1">
              <a:solidFill>
                <a:srgbClr val="FF0000"/>
              </a:solidFill>
            </a:rPr>
            <a:t>FOS 12</a:t>
          </a:r>
        </a:p>
      </xdr:txBody>
    </xdr:sp>
    <xdr:clientData/>
  </xdr:oneCellAnchor>
  <xdr:oneCellAnchor>
    <xdr:from>
      <xdr:col>16</xdr:col>
      <xdr:colOff>381000</xdr:colOff>
      <xdr:row>1</xdr:row>
      <xdr:rowOff>85725</xdr:rowOff>
    </xdr:from>
    <xdr:ext cx="941027" cy="405432"/>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13792200" y="285750"/>
          <a:ext cx="941027"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000" b="1">
              <a:solidFill>
                <a:srgbClr val="FF0000"/>
              </a:solidFill>
            </a:rPr>
            <a:t>BOS 12</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33</xdr:col>
      <xdr:colOff>352425</xdr:colOff>
      <xdr:row>2</xdr:row>
      <xdr:rowOff>152401</xdr:rowOff>
    </xdr:from>
    <xdr:to>
      <xdr:col>35</xdr:col>
      <xdr:colOff>819150</xdr:colOff>
      <xdr:row>4</xdr:row>
      <xdr:rowOff>95250</xdr:rowOff>
    </xdr:to>
    <xdr:sp macro="" textlink="">
      <xdr:nvSpPr>
        <xdr:cNvPr id="2" name="Rechteck: abgerundete Ecken 1">
          <a:extLst>
            <a:ext uri="{FF2B5EF4-FFF2-40B4-BE49-F238E27FC236}">
              <a16:creationId xmlns:a16="http://schemas.microsoft.com/office/drawing/2014/main" id="{AEC1618B-DBC8-46BF-8671-3C83DCEF198C}"/>
            </a:ext>
          </a:extLst>
        </xdr:cNvPr>
        <xdr:cNvSpPr/>
      </xdr:nvSpPr>
      <xdr:spPr>
        <a:xfrm>
          <a:off x="6877050" y="619126"/>
          <a:ext cx="1943100" cy="342899"/>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de-DE" sz="1400"/>
            <a:t>Hier</a:t>
          </a:r>
          <a:r>
            <a:rPr lang="de-DE" sz="1400" baseline="0"/>
            <a:t> den Zweig wählen!</a:t>
          </a:r>
          <a:endParaRPr lang="de-DE" sz="1400"/>
        </a:p>
      </xdr:txBody>
    </xdr:sp>
    <xdr:clientData/>
  </xdr:twoCellAnchor>
  <xdr:twoCellAnchor>
    <xdr:from>
      <xdr:col>6</xdr:col>
      <xdr:colOff>123825</xdr:colOff>
      <xdr:row>3</xdr:row>
      <xdr:rowOff>9525</xdr:rowOff>
    </xdr:from>
    <xdr:to>
      <xdr:col>33</xdr:col>
      <xdr:colOff>361950</xdr:colOff>
      <xdr:row>3</xdr:row>
      <xdr:rowOff>38100</xdr:rowOff>
    </xdr:to>
    <xdr:cxnSp macro="">
      <xdr:nvCxnSpPr>
        <xdr:cNvPr id="4" name="Gerade Verbindung mit Pfeil 3">
          <a:extLst>
            <a:ext uri="{FF2B5EF4-FFF2-40B4-BE49-F238E27FC236}">
              <a16:creationId xmlns:a16="http://schemas.microsoft.com/office/drawing/2014/main" id="{F132E420-245F-44BE-A577-BF45D94B8FE8}"/>
            </a:ext>
          </a:extLst>
        </xdr:cNvPr>
        <xdr:cNvCxnSpPr/>
      </xdr:nvCxnSpPr>
      <xdr:spPr>
        <a:xfrm flipH="1">
          <a:off x="3619500" y="676275"/>
          <a:ext cx="3267075" cy="285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295275</xdr:colOff>
      <xdr:row>20</xdr:row>
      <xdr:rowOff>180975</xdr:rowOff>
    </xdr:from>
    <xdr:to>
      <xdr:col>35</xdr:col>
      <xdr:colOff>762000</xdr:colOff>
      <xdr:row>25</xdr:row>
      <xdr:rowOff>47625</xdr:rowOff>
    </xdr:to>
    <xdr:sp macro="" textlink="">
      <xdr:nvSpPr>
        <xdr:cNvPr id="6" name="Rechteck: abgerundete Ecken 5">
          <a:extLst>
            <a:ext uri="{FF2B5EF4-FFF2-40B4-BE49-F238E27FC236}">
              <a16:creationId xmlns:a16="http://schemas.microsoft.com/office/drawing/2014/main" id="{B94960BA-DBC0-4384-84B7-CD6FF1FD81A7}"/>
            </a:ext>
          </a:extLst>
        </xdr:cNvPr>
        <xdr:cNvSpPr/>
      </xdr:nvSpPr>
      <xdr:spPr>
        <a:xfrm>
          <a:off x="6819900" y="3648075"/>
          <a:ext cx="1943100" cy="8667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de-DE" sz="1400"/>
            <a:t>Hier</a:t>
          </a:r>
          <a:r>
            <a:rPr lang="de-DE" sz="1400" baseline="0"/>
            <a:t> die Wahlpflichtfächer wählen!</a:t>
          </a:r>
          <a:endParaRPr lang="de-DE" sz="1400"/>
        </a:p>
      </xdr:txBody>
    </xdr:sp>
    <xdr:clientData/>
  </xdr:twoCellAnchor>
  <xdr:twoCellAnchor>
    <xdr:from>
      <xdr:col>3</xdr:col>
      <xdr:colOff>142875</xdr:colOff>
      <xdr:row>21</xdr:row>
      <xdr:rowOff>28575</xdr:rowOff>
    </xdr:from>
    <xdr:to>
      <xdr:col>33</xdr:col>
      <xdr:colOff>304801</xdr:colOff>
      <xdr:row>21</xdr:row>
      <xdr:rowOff>38099</xdr:rowOff>
    </xdr:to>
    <xdr:cxnSp macro="">
      <xdr:nvCxnSpPr>
        <xdr:cNvPr id="7" name="Gerade Verbindung mit Pfeil 6">
          <a:extLst>
            <a:ext uri="{FF2B5EF4-FFF2-40B4-BE49-F238E27FC236}">
              <a16:creationId xmlns:a16="http://schemas.microsoft.com/office/drawing/2014/main" id="{0BB288C4-14B0-4DDF-9D14-9AE8AD6EE372}"/>
            </a:ext>
          </a:extLst>
        </xdr:cNvPr>
        <xdr:cNvCxnSpPr/>
      </xdr:nvCxnSpPr>
      <xdr:spPr>
        <a:xfrm flipH="1" flipV="1">
          <a:off x="2486025" y="3695700"/>
          <a:ext cx="4343401" cy="9524"/>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342900</xdr:colOff>
      <xdr:row>2</xdr:row>
      <xdr:rowOff>104775</xdr:rowOff>
    </xdr:from>
    <xdr:to>
      <xdr:col>35</xdr:col>
      <xdr:colOff>809625</xdr:colOff>
      <xdr:row>4</xdr:row>
      <xdr:rowOff>47624</xdr:rowOff>
    </xdr:to>
    <xdr:sp macro="" textlink="">
      <xdr:nvSpPr>
        <xdr:cNvPr id="2" name="Rechteck: abgerundete Ecken 1">
          <a:extLst>
            <a:ext uri="{FF2B5EF4-FFF2-40B4-BE49-F238E27FC236}">
              <a16:creationId xmlns:a16="http://schemas.microsoft.com/office/drawing/2014/main" id="{975ADDE4-B402-49FF-9953-18949E970B95}"/>
            </a:ext>
          </a:extLst>
        </xdr:cNvPr>
        <xdr:cNvSpPr/>
      </xdr:nvSpPr>
      <xdr:spPr>
        <a:xfrm>
          <a:off x="6867525" y="571500"/>
          <a:ext cx="1943100" cy="342899"/>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de-DE" sz="1400"/>
            <a:t>Hier</a:t>
          </a:r>
          <a:r>
            <a:rPr lang="de-DE" sz="1400" baseline="0"/>
            <a:t> den Zweig wählen!</a:t>
          </a:r>
          <a:endParaRPr lang="de-DE" sz="1400"/>
        </a:p>
      </xdr:txBody>
    </xdr:sp>
    <xdr:clientData/>
  </xdr:twoCellAnchor>
  <xdr:twoCellAnchor>
    <xdr:from>
      <xdr:col>6</xdr:col>
      <xdr:colOff>114300</xdr:colOff>
      <xdr:row>2</xdr:row>
      <xdr:rowOff>161924</xdr:rowOff>
    </xdr:from>
    <xdr:to>
      <xdr:col>33</xdr:col>
      <xdr:colOff>352425</xdr:colOff>
      <xdr:row>2</xdr:row>
      <xdr:rowOff>190499</xdr:rowOff>
    </xdr:to>
    <xdr:cxnSp macro="">
      <xdr:nvCxnSpPr>
        <xdr:cNvPr id="3" name="Gerade Verbindung mit Pfeil 2">
          <a:extLst>
            <a:ext uri="{FF2B5EF4-FFF2-40B4-BE49-F238E27FC236}">
              <a16:creationId xmlns:a16="http://schemas.microsoft.com/office/drawing/2014/main" id="{39791038-E51E-4C0F-984A-19D8D6696C11}"/>
            </a:ext>
          </a:extLst>
        </xdr:cNvPr>
        <xdr:cNvCxnSpPr/>
      </xdr:nvCxnSpPr>
      <xdr:spPr>
        <a:xfrm flipH="1">
          <a:off x="3609975" y="628649"/>
          <a:ext cx="3267075" cy="285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333375</xdr:colOff>
      <xdr:row>20</xdr:row>
      <xdr:rowOff>171450</xdr:rowOff>
    </xdr:from>
    <xdr:to>
      <xdr:col>35</xdr:col>
      <xdr:colOff>800100</xdr:colOff>
      <xdr:row>27</xdr:row>
      <xdr:rowOff>38100</xdr:rowOff>
    </xdr:to>
    <xdr:sp macro="" textlink="">
      <xdr:nvSpPr>
        <xdr:cNvPr id="4" name="Rechteck: abgerundete Ecken 3">
          <a:extLst>
            <a:ext uri="{FF2B5EF4-FFF2-40B4-BE49-F238E27FC236}">
              <a16:creationId xmlns:a16="http://schemas.microsoft.com/office/drawing/2014/main" id="{B7DCF3A7-E2B7-4E0C-88C8-803DC56D7045}"/>
            </a:ext>
          </a:extLst>
        </xdr:cNvPr>
        <xdr:cNvSpPr/>
      </xdr:nvSpPr>
      <xdr:spPr>
        <a:xfrm>
          <a:off x="6858000" y="3038475"/>
          <a:ext cx="1943100" cy="8667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de-DE" sz="1400"/>
            <a:t>Hier</a:t>
          </a:r>
          <a:r>
            <a:rPr lang="de-DE" sz="1400" baseline="0"/>
            <a:t> die Wahlpflichtfächer wählen!</a:t>
          </a:r>
          <a:endParaRPr lang="de-DE" sz="1400"/>
        </a:p>
      </xdr:txBody>
    </xdr:sp>
    <xdr:clientData/>
  </xdr:twoCellAnchor>
  <xdr:twoCellAnchor>
    <xdr:from>
      <xdr:col>3</xdr:col>
      <xdr:colOff>180975</xdr:colOff>
      <xdr:row>21</xdr:row>
      <xdr:rowOff>19050</xdr:rowOff>
    </xdr:from>
    <xdr:to>
      <xdr:col>33</xdr:col>
      <xdr:colOff>342901</xdr:colOff>
      <xdr:row>21</xdr:row>
      <xdr:rowOff>28574</xdr:rowOff>
    </xdr:to>
    <xdr:cxnSp macro="">
      <xdr:nvCxnSpPr>
        <xdr:cNvPr id="5" name="Gerade Verbindung mit Pfeil 4">
          <a:extLst>
            <a:ext uri="{FF2B5EF4-FFF2-40B4-BE49-F238E27FC236}">
              <a16:creationId xmlns:a16="http://schemas.microsoft.com/office/drawing/2014/main" id="{2DAD195D-2A27-4B11-AB54-0BABD58CD87D}"/>
            </a:ext>
          </a:extLst>
        </xdr:cNvPr>
        <xdr:cNvCxnSpPr/>
      </xdr:nvCxnSpPr>
      <xdr:spPr>
        <a:xfrm flipH="1" flipV="1">
          <a:off x="2524125" y="3086100"/>
          <a:ext cx="4343401" cy="9524"/>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2:P37"/>
  <sheetViews>
    <sheetView topLeftCell="Q1" workbookViewId="0">
      <selection activeCell="AC18" sqref="AC18"/>
    </sheetView>
  </sheetViews>
  <sheetFormatPr baseColWidth="10" defaultRowHeight="15.75"/>
  <cols>
    <col min="1" max="2" width="11" style="93" hidden="1" customWidth="1"/>
    <col min="3" max="3" width="28.125" style="93" hidden="1" customWidth="1"/>
    <col min="4" max="4" width="11" style="94" hidden="1" customWidth="1"/>
    <col min="5" max="5" width="23.875" style="93" hidden="1" customWidth="1"/>
    <col min="6" max="6" width="4.375" style="93" hidden="1" customWidth="1"/>
    <col min="7" max="7" width="12.5" style="93" hidden="1" customWidth="1"/>
    <col min="8" max="8" width="4.375" style="93" hidden="1" customWidth="1"/>
    <col min="9" max="9" width="23.875" style="93" hidden="1" customWidth="1"/>
    <col min="10" max="10" width="22.5" style="93" hidden="1" customWidth="1"/>
    <col min="11" max="12" width="18.125" style="93" hidden="1" customWidth="1"/>
    <col min="13" max="13" width="10.125" style="93" hidden="1" customWidth="1"/>
    <col min="14" max="16" width="18.125" style="93" hidden="1" customWidth="1"/>
    <col min="17" max="16384" width="11" style="93"/>
  </cols>
  <sheetData>
    <row r="2" spans="2:16">
      <c r="C2" s="93" t="s">
        <v>84</v>
      </c>
      <c r="F2" s="181"/>
      <c r="G2" s="181"/>
      <c r="H2" s="181"/>
      <c r="I2" s="158" t="s">
        <v>138</v>
      </c>
      <c r="J2" s="158" t="s">
        <v>139</v>
      </c>
      <c r="K2" s="158" t="s">
        <v>140</v>
      </c>
      <c r="L2" s="158" t="s">
        <v>141</v>
      </c>
      <c r="M2" s="158" t="s">
        <v>142</v>
      </c>
      <c r="N2" s="158" t="s">
        <v>143</v>
      </c>
      <c r="O2" s="158" t="s">
        <v>145</v>
      </c>
      <c r="P2" s="158" t="s">
        <v>146</v>
      </c>
    </row>
    <row r="3" spans="2:16">
      <c r="B3" s="155" t="s">
        <v>81</v>
      </c>
      <c r="C3" s="155" t="s">
        <v>14</v>
      </c>
      <c r="D3" s="94">
        <v>1</v>
      </c>
      <c r="F3" s="181"/>
      <c r="G3" s="181"/>
      <c r="H3" s="181"/>
      <c r="I3" s="181" t="s">
        <v>10</v>
      </c>
      <c r="J3" s="181" t="s">
        <v>11</v>
      </c>
      <c r="K3" s="181" t="s">
        <v>12</v>
      </c>
      <c r="L3" s="181" t="s">
        <v>12</v>
      </c>
      <c r="M3" s="181" t="s">
        <v>12</v>
      </c>
      <c r="N3" s="181" t="s">
        <v>13</v>
      </c>
      <c r="O3" s="181" t="s">
        <v>137</v>
      </c>
      <c r="P3" s="181" t="s">
        <v>144</v>
      </c>
    </row>
    <row r="4" spans="2:16">
      <c r="B4" s="155" t="s">
        <v>82</v>
      </c>
      <c r="C4" s="155" t="s">
        <v>15</v>
      </c>
      <c r="D4" s="94">
        <v>1</v>
      </c>
      <c r="F4" s="99" t="s">
        <v>116</v>
      </c>
      <c r="G4" s="99" t="s">
        <v>117</v>
      </c>
      <c r="H4" s="99" t="s">
        <v>116</v>
      </c>
      <c r="I4" s="99" t="s">
        <v>85</v>
      </c>
      <c r="J4" s="99" t="s">
        <v>93</v>
      </c>
      <c r="K4" s="182" t="str">
        <f>"-"</f>
        <v>-</v>
      </c>
      <c r="L4" s="182" t="str">
        <f>"-"</f>
        <v>-</v>
      </c>
      <c r="M4" s="182" t="s">
        <v>94</v>
      </c>
      <c r="N4" s="182" t="str">
        <f>"-"</f>
        <v>-</v>
      </c>
      <c r="O4" s="99" t="s">
        <v>102</v>
      </c>
      <c r="P4" s="182" t="str">
        <f>"-"</f>
        <v>-</v>
      </c>
    </row>
    <row r="5" spans="2:16">
      <c r="B5" s="155" t="s">
        <v>83</v>
      </c>
      <c r="C5" s="155" t="s">
        <v>16</v>
      </c>
      <c r="D5" s="94">
        <v>1</v>
      </c>
      <c r="F5" s="99" t="s">
        <v>118</v>
      </c>
      <c r="G5" s="99" t="s">
        <v>135</v>
      </c>
      <c r="H5" s="99" t="s">
        <v>118</v>
      </c>
      <c r="I5" s="99" t="s">
        <v>89</v>
      </c>
      <c r="J5" s="99" t="s">
        <v>94</v>
      </c>
      <c r="K5" s="182" t="str">
        <f>"-"</f>
        <v>-</v>
      </c>
      <c r="L5" s="182" t="str">
        <f>"-"</f>
        <v>-</v>
      </c>
      <c r="M5" s="182" t="s">
        <v>85</v>
      </c>
      <c r="N5" s="182" t="str">
        <f t="shared" ref="N5:P10" si="0">"-"</f>
        <v>-</v>
      </c>
      <c r="O5" s="99" t="s">
        <v>93</v>
      </c>
      <c r="P5" s="182" t="str">
        <f t="shared" si="0"/>
        <v>-</v>
      </c>
    </row>
    <row r="6" spans="2:16">
      <c r="B6" s="184" t="s">
        <v>182</v>
      </c>
      <c r="C6" s="184" t="s">
        <v>183</v>
      </c>
      <c r="D6" s="94">
        <v>0</v>
      </c>
      <c r="F6" s="99" t="s">
        <v>119</v>
      </c>
      <c r="G6" s="99" t="s">
        <v>120</v>
      </c>
      <c r="H6" s="99" t="s">
        <v>119</v>
      </c>
      <c r="I6" s="99" t="s">
        <v>86</v>
      </c>
      <c r="J6" s="99" t="s">
        <v>95</v>
      </c>
      <c r="K6" s="182" t="str">
        <f t="shared" ref="J6:K9" si="1">"-"</f>
        <v>-</v>
      </c>
      <c r="L6" s="182" t="s">
        <v>99</v>
      </c>
      <c r="M6" s="182" t="str">
        <f>"-"</f>
        <v>-</v>
      </c>
      <c r="N6" s="182" t="str">
        <f t="shared" si="0"/>
        <v>-</v>
      </c>
      <c r="O6" s="182" t="s">
        <v>101</v>
      </c>
      <c r="P6" s="99" t="s">
        <v>44</v>
      </c>
    </row>
    <row r="7" spans="2:16">
      <c r="B7" s="93" t="s">
        <v>128</v>
      </c>
      <c r="C7" s="184" t="s">
        <v>129</v>
      </c>
      <c r="D7" s="94">
        <v>0</v>
      </c>
      <c r="F7" s="99" t="s">
        <v>121</v>
      </c>
      <c r="G7" s="99" t="s">
        <v>122</v>
      </c>
      <c r="H7" s="99" t="s">
        <v>121</v>
      </c>
      <c r="I7" s="99" t="s">
        <v>87</v>
      </c>
      <c r="J7" s="99" t="s">
        <v>123</v>
      </c>
      <c r="K7" s="182" t="str">
        <f t="shared" si="1"/>
        <v>-</v>
      </c>
      <c r="L7" s="182" t="s">
        <v>99</v>
      </c>
      <c r="M7" s="182" t="str">
        <f>"-"</f>
        <v>-</v>
      </c>
      <c r="N7" s="182" t="str">
        <f t="shared" si="0"/>
        <v>-</v>
      </c>
      <c r="O7" s="182" t="s">
        <v>101</v>
      </c>
      <c r="P7" s="99" t="s">
        <v>103</v>
      </c>
    </row>
    <row r="8" spans="2:16">
      <c r="B8" s="93" t="s">
        <v>26</v>
      </c>
      <c r="C8" s="93" t="s">
        <v>27</v>
      </c>
      <c r="D8" s="94">
        <v>1</v>
      </c>
      <c r="F8" s="99" t="s">
        <v>114</v>
      </c>
      <c r="G8" s="99" t="s">
        <v>124</v>
      </c>
      <c r="H8" s="99" t="s">
        <v>114</v>
      </c>
      <c r="I8" s="99" t="s">
        <v>88</v>
      </c>
      <c r="J8" s="99" t="s">
        <v>96</v>
      </c>
      <c r="K8" s="182" t="str">
        <f t="shared" si="1"/>
        <v>-</v>
      </c>
      <c r="L8" s="182" t="s">
        <v>94</v>
      </c>
      <c r="M8" s="182" t="str">
        <f>"-"</f>
        <v>-</v>
      </c>
      <c r="N8" s="182" t="str">
        <f t="shared" si="0"/>
        <v>-</v>
      </c>
      <c r="O8" s="182" t="s">
        <v>89</v>
      </c>
      <c r="P8" s="99" t="s">
        <v>72</v>
      </c>
    </row>
    <row r="9" spans="2:16">
      <c r="B9" s="93" t="s">
        <v>30</v>
      </c>
      <c r="C9" s="93" t="s">
        <v>31</v>
      </c>
      <c r="D9" s="94">
        <v>1</v>
      </c>
      <c r="F9" s="99" t="s">
        <v>125</v>
      </c>
      <c r="G9" s="99" t="s">
        <v>126</v>
      </c>
      <c r="H9" s="99" t="s">
        <v>125</v>
      </c>
      <c r="I9" s="99" t="s">
        <v>90</v>
      </c>
      <c r="J9" s="182" t="str">
        <f t="shared" si="1"/>
        <v>-</v>
      </c>
      <c r="K9" s="182" t="s">
        <v>89</v>
      </c>
      <c r="L9" s="182" t="str">
        <f>"-"</f>
        <v>-</v>
      </c>
      <c r="M9" s="182" t="s">
        <v>100</v>
      </c>
      <c r="N9" s="99" t="s">
        <v>94</v>
      </c>
      <c r="O9" s="182" t="str">
        <f>"-"</f>
        <v>-</v>
      </c>
      <c r="P9" s="182" t="str">
        <f>"-"</f>
        <v>-</v>
      </c>
    </row>
    <row r="10" spans="2:16">
      <c r="B10" s="93" t="s">
        <v>57</v>
      </c>
      <c r="C10" s="93" t="s">
        <v>58</v>
      </c>
      <c r="D10" s="94">
        <v>1</v>
      </c>
      <c r="F10" s="99" t="s">
        <v>127</v>
      </c>
      <c r="G10" s="99" t="s">
        <v>91</v>
      </c>
      <c r="H10" s="99" t="s">
        <v>127</v>
      </c>
      <c r="I10" s="99" t="s">
        <v>92</v>
      </c>
      <c r="J10" s="99" t="s">
        <v>97</v>
      </c>
      <c r="K10" s="182" t="s">
        <v>101</v>
      </c>
      <c r="L10" s="182" t="str">
        <f>"-"</f>
        <v>-</v>
      </c>
      <c r="M10" s="182" t="s">
        <v>98</v>
      </c>
      <c r="N10" s="182" t="str">
        <f t="shared" si="0"/>
        <v>-</v>
      </c>
      <c r="O10" s="182" t="str">
        <f t="shared" si="0"/>
        <v>-</v>
      </c>
      <c r="P10" s="182" t="str">
        <f t="shared" si="0"/>
        <v>-</v>
      </c>
    </row>
    <row r="11" spans="2:16">
      <c r="B11" s="93" t="s">
        <v>59</v>
      </c>
      <c r="C11" s="93" t="s">
        <v>60</v>
      </c>
      <c r="D11" s="94">
        <v>1</v>
      </c>
    </row>
    <row r="12" spans="2:16">
      <c r="B12" s="93" t="s">
        <v>28</v>
      </c>
      <c r="C12" s="93" t="s">
        <v>29</v>
      </c>
      <c r="D12" s="94">
        <v>1</v>
      </c>
      <c r="F12" s="181"/>
      <c r="G12" s="181"/>
      <c r="H12" s="181"/>
      <c r="I12" s="158"/>
      <c r="J12" s="158"/>
      <c r="K12" s="1"/>
      <c r="L12" s="1"/>
      <c r="M12" s="183"/>
      <c r="N12" s="158"/>
    </row>
    <row r="13" spans="2:16">
      <c r="B13" s="93" t="s">
        <v>32</v>
      </c>
      <c r="C13" s="93" t="s">
        <v>33</v>
      </c>
      <c r="D13" s="94">
        <v>1</v>
      </c>
      <c r="F13" s="181"/>
      <c r="G13" s="181"/>
      <c r="H13" s="181"/>
      <c r="I13" s="181" t="s">
        <v>10</v>
      </c>
      <c r="J13" s="181" t="s">
        <v>11</v>
      </c>
      <c r="K13" s="184"/>
      <c r="L13" s="184"/>
      <c r="M13" s="185" t="s">
        <v>12</v>
      </c>
      <c r="N13" s="181" t="s">
        <v>12</v>
      </c>
    </row>
    <row r="14" spans="2:16">
      <c r="B14" s="93" t="s">
        <v>38</v>
      </c>
      <c r="C14" s="93" t="s">
        <v>39</v>
      </c>
      <c r="D14" s="94">
        <v>1</v>
      </c>
      <c r="F14" s="99" t="s">
        <v>116</v>
      </c>
      <c r="G14" s="99" t="s">
        <v>117</v>
      </c>
      <c r="H14" s="99" t="s">
        <v>116</v>
      </c>
      <c r="I14" s="99" t="s">
        <v>85</v>
      </c>
      <c r="J14" s="99" t="s">
        <v>93</v>
      </c>
      <c r="K14" s="186"/>
      <c r="L14" s="184"/>
      <c r="M14" s="134" t="s">
        <v>94</v>
      </c>
      <c r="N14" s="99" t="s">
        <v>102</v>
      </c>
      <c r="O14" s="155"/>
      <c r="P14" s="155"/>
    </row>
    <row r="15" spans="2:16">
      <c r="B15" s="93" t="s">
        <v>34</v>
      </c>
      <c r="C15" s="93" t="s">
        <v>35</v>
      </c>
      <c r="D15" s="94">
        <v>1</v>
      </c>
      <c r="F15" s="99" t="s">
        <v>118</v>
      </c>
      <c r="G15" s="99" t="s">
        <v>135</v>
      </c>
      <c r="H15" s="99" t="s">
        <v>118</v>
      </c>
      <c r="I15" s="99" t="s">
        <v>89</v>
      </c>
      <c r="J15" s="99" t="s">
        <v>94</v>
      </c>
      <c r="K15" s="186"/>
      <c r="L15" s="184"/>
      <c r="M15" s="134" t="s">
        <v>85</v>
      </c>
      <c r="N15" s="99" t="s">
        <v>93</v>
      </c>
      <c r="O15" s="155"/>
      <c r="P15" s="155"/>
    </row>
    <row r="16" spans="2:16">
      <c r="B16" s="93" t="s">
        <v>36</v>
      </c>
      <c r="C16" s="93" t="s">
        <v>37</v>
      </c>
      <c r="D16" s="94">
        <v>1</v>
      </c>
      <c r="F16" s="99" t="s">
        <v>119</v>
      </c>
      <c r="G16" s="99" t="s">
        <v>120</v>
      </c>
      <c r="H16" s="99" t="s">
        <v>119</v>
      </c>
      <c r="I16" s="99" t="s">
        <v>86</v>
      </c>
      <c r="J16" s="99" t="s">
        <v>95</v>
      </c>
      <c r="K16" s="186"/>
      <c r="L16" s="184"/>
      <c r="M16" s="134" t="s">
        <v>101</v>
      </c>
      <c r="N16" s="99" t="s">
        <v>44</v>
      </c>
      <c r="O16" s="155"/>
      <c r="P16" s="155"/>
    </row>
    <row r="17" spans="2:16" ht="16.5" thickBot="1">
      <c r="B17" s="93" t="s">
        <v>61</v>
      </c>
      <c r="C17" s="93" t="s">
        <v>62</v>
      </c>
      <c r="D17" s="94">
        <v>1</v>
      </c>
      <c r="F17" s="99" t="s">
        <v>121</v>
      </c>
      <c r="G17" s="99" t="s">
        <v>122</v>
      </c>
      <c r="H17" s="99" t="s">
        <v>121</v>
      </c>
      <c r="I17" s="99" t="s">
        <v>87</v>
      </c>
      <c r="J17" s="99" t="s">
        <v>123</v>
      </c>
      <c r="K17" s="186"/>
      <c r="L17" s="184"/>
      <c r="M17" s="134" t="s">
        <v>101</v>
      </c>
      <c r="N17" s="99" t="s">
        <v>103</v>
      </c>
      <c r="O17" s="155"/>
      <c r="P17" s="155"/>
    </row>
    <row r="18" spans="2:16">
      <c r="B18" s="93" t="s">
        <v>43</v>
      </c>
      <c r="C18" s="93" t="s">
        <v>44</v>
      </c>
      <c r="D18" s="94">
        <v>1</v>
      </c>
      <c r="F18" s="99" t="s">
        <v>114</v>
      </c>
      <c r="G18" s="99" t="s">
        <v>124</v>
      </c>
      <c r="H18" s="99" t="s">
        <v>114</v>
      </c>
      <c r="I18" s="99" t="s">
        <v>88</v>
      </c>
      <c r="J18" s="99" t="s">
        <v>96</v>
      </c>
      <c r="K18" s="187"/>
      <c r="L18" s="184"/>
      <c r="M18" s="134" t="s">
        <v>89</v>
      </c>
      <c r="N18" s="99" t="s">
        <v>72</v>
      </c>
      <c r="O18" s="155"/>
      <c r="P18" s="155"/>
    </row>
    <row r="19" spans="2:16" ht="16.5" thickBot="1">
      <c r="B19" s="93" t="s">
        <v>41</v>
      </c>
      <c r="C19" s="93" t="s">
        <v>42</v>
      </c>
      <c r="D19" s="94">
        <v>1</v>
      </c>
      <c r="F19" s="99" t="s">
        <v>125</v>
      </c>
      <c r="G19" s="99" t="s">
        <v>126</v>
      </c>
      <c r="H19" s="99" t="s">
        <v>125</v>
      </c>
      <c r="I19" s="99" t="s">
        <v>90</v>
      </c>
      <c r="J19" s="182" t="s">
        <v>89</v>
      </c>
      <c r="K19" s="188" t="s">
        <v>136</v>
      </c>
      <c r="L19" s="184"/>
      <c r="M19" s="189" t="s">
        <v>100</v>
      </c>
      <c r="N19" s="182" t="s">
        <v>94</v>
      </c>
      <c r="O19" s="155"/>
      <c r="P19" s="155"/>
    </row>
    <row r="20" spans="2:16">
      <c r="B20" s="93" t="s">
        <v>45</v>
      </c>
      <c r="C20" s="93" t="s">
        <v>46</v>
      </c>
      <c r="D20" s="94">
        <v>1</v>
      </c>
      <c r="F20" s="99" t="s">
        <v>127</v>
      </c>
      <c r="G20" s="99" t="s">
        <v>91</v>
      </c>
      <c r="H20" s="99" t="s">
        <v>127</v>
      </c>
      <c r="I20" s="99" t="s">
        <v>92</v>
      </c>
      <c r="J20" s="99" t="s">
        <v>97</v>
      </c>
      <c r="K20" s="186"/>
      <c r="L20" s="186"/>
      <c r="M20" s="134" t="s">
        <v>101</v>
      </c>
      <c r="N20" s="99" t="s">
        <v>98</v>
      </c>
      <c r="O20" s="155"/>
      <c r="P20" s="155"/>
    </row>
    <row r="21" spans="2:16">
      <c r="B21" s="93" t="s">
        <v>47</v>
      </c>
      <c r="C21" s="93" t="s">
        <v>48</v>
      </c>
      <c r="D21" s="94">
        <v>1</v>
      </c>
      <c r="M21" s="155"/>
      <c r="N21" s="155"/>
      <c r="O21" s="155"/>
      <c r="P21" s="155"/>
    </row>
    <row r="22" spans="2:16">
      <c r="B22" s="93" t="s">
        <v>49</v>
      </c>
      <c r="C22" s="93" t="s">
        <v>132</v>
      </c>
      <c r="D22" s="94">
        <v>0</v>
      </c>
      <c r="K22" s="155"/>
      <c r="M22" s="155"/>
      <c r="N22" s="155"/>
      <c r="O22" s="155"/>
      <c r="P22" s="155"/>
    </row>
    <row r="23" spans="2:16">
      <c r="B23" s="93" t="s">
        <v>50</v>
      </c>
      <c r="C23" s="93" t="s">
        <v>51</v>
      </c>
      <c r="D23" s="94">
        <v>1</v>
      </c>
      <c r="M23" s="155"/>
      <c r="N23" s="155"/>
      <c r="O23" s="155"/>
      <c r="P23" s="155"/>
    </row>
    <row r="24" spans="2:16">
      <c r="B24" s="93" t="s">
        <v>52</v>
      </c>
      <c r="C24" s="93" t="s">
        <v>53</v>
      </c>
      <c r="D24" s="94">
        <v>1</v>
      </c>
      <c r="M24" s="155"/>
      <c r="N24" s="155"/>
      <c r="O24" s="155"/>
      <c r="P24" s="155"/>
    </row>
    <row r="25" spans="2:16">
      <c r="B25" s="93" t="s">
        <v>54</v>
      </c>
      <c r="C25" s="93" t="s">
        <v>131</v>
      </c>
      <c r="D25" s="94">
        <v>0</v>
      </c>
    </row>
    <row r="26" spans="2:16">
      <c r="B26" s="93" t="s">
        <v>55</v>
      </c>
      <c r="C26" s="93" t="s">
        <v>56</v>
      </c>
      <c r="D26" s="94">
        <v>1</v>
      </c>
    </row>
    <row r="27" spans="2:16">
      <c r="B27" s="93" t="s">
        <v>63</v>
      </c>
      <c r="C27" s="93" t="s">
        <v>64</v>
      </c>
      <c r="D27" s="94">
        <v>1</v>
      </c>
    </row>
    <row r="28" spans="2:16">
      <c r="B28" s="93" t="s">
        <v>69</v>
      </c>
      <c r="C28" s="93" t="s">
        <v>70</v>
      </c>
      <c r="D28" s="94">
        <v>1</v>
      </c>
    </row>
    <row r="29" spans="2:16">
      <c r="B29" s="93" t="s">
        <v>71</v>
      </c>
      <c r="C29" s="93" t="s">
        <v>72</v>
      </c>
      <c r="D29" s="94">
        <v>1</v>
      </c>
    </row>
    <row r="30" spans="2:16">
      <c r="B30" s="93" t="s">
        <v>73</v>
      </c>
      <c r="C30" s="93" t="s">
        <v>74</v>
      </c>
      <c r="D30" s="94">
        <v>1</v>
      </c>
    </row>
    <row r="31" spans="2:16">
      <c r="B31" s="93" t="s">
        <v>75</v>
      </c>
      <c r="C31" s="93" t="s">
        <v>76</v>
      </c>
      <c r="D31" s="94">
        <v>1</v>
      </c>
    </row>
    <row r="32" spans="2:16">
      <c r="B32" s="93" t="s">
        <v>67</v>
      </c>
      <c r="C32" s="93" t="s">
        <v>68</v>
      </c>
      <c r="D32" s="94">
        <v>1</v>
      </c>
    </row>
    <row r="33" spans="2:4">
      <c r="B33" s="93" t="s">
        <v>65</v>
      </c>
      <c r="C33" s="93" t="s">
        <v>130</v>
      </c>
      <c r="D33" s="94">
        <v>0</v>
      </c>
    </row>
    <row r="34" spans="2:4">
      <c r="B34" s="93" t="s">
        <v>66</v>
      </c>
      <c r="C34" s="93" t="s">
        <v>133</v>
      </c>
      <c r="D34" s="94">
        <v>0</v>
      </c>
    </row>
    <row r="35" spans="2:4">
      <c r="B35" s="93" t="s">
        <v>40</v>
      </c>
      <c r="C35" s="93" t="s">
        <v>134</v>
      </c>
      <c r="D35" s="94">
        <v>0</v>
      </c>
    </row>
    <row r="36" spans="2:4">
      <c r="B36" s="93" t="s">
        <v>77</v>
      </c>
      <c r="C36" s="93" t="s">
        <v>78</v>
      </c>
      <c r="D36" s="94">
        <v>1</v>
      </c>
    </row>
    <row r="37" spans="2:4">
      <c r="B37" s="93" t="s">
        <v>79</v>
      </c>
      <c r="C37" s="93" t="s">
        <v>80</v>
      </c>
      <c r="D37" s="94">
        <v>1</v>
      </c>
    </row>
  </sheetData>
  <sheetProtection password="CD32" sheet="1" selectLockedCells="1"/>
  <sortState ref="B4:C36">
    <sortCondition ref="C3:C35"/>
  </sortState>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zoomScale="140" zoomScaleNormal="140" workbookViewId="0">
      <selection activeCell="A7" sqref="A7"/>
    </sheetView>
  </sheetViews>
  <sheetFormatPr baseColWidth="10" defaultRowHeight="15.75"/>
  <sheetData/>
  <sheetProtection password="CD32" sheet="1" selectLockedCell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election activeCell="J1" sqref="J1"/>
    </sheetView>
  </sheetViews>
  <sheetFormatPr baseColWidth="10" defaultRowHeight="15.75"/>
  <sheetData/>
  <sheetProtection password="CD32" sheet="1" objects="1" scenarios="1"/>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2:AI46"/>
  <sheetViews>
    <sheetView tabSelected="1" topLeftCell="B1" zoomScaleNormal="100" workbookViewId="0">
      <selection activeCell="C23" sqref="C23"/>
    </sheetView>
  </sheetViews>
  <sheetFormatPr baseColWidth="10" defaultRowHeight="15.75"/>
  <cols>
    <col min="1" max="1" width="5.625" style="93" hidden="1" customWidth="1"/>
    <col min="2" max="2" width="3.5" style="93" customWidth="1"/>
    <col min="3" max="3" width="27.25" style="93" customWidth="1"/>
    <col min="4" max="4" width="5.75" style="93" customWidth="1"/>
    <col min="5" max="5" width="3.625" style="93" bestFit="1" customWidth="1"/>
    <col min="6" max="6" width="5.75" style="93" customWidth="1"/>
    <col min="7" max="7" width="3.625" style="93" bestFit="1" customWidth="1"/>
    <col min="8" max="8" width="5.75" style="93" customWidth="1"/>
    <col min="9" max="9" width="3.625" style="93" bestFit="1" customWidth="1"/>
    <col min="10" max="10" width="5.75" style="93" customWidth="1"/>
    <col min="11" max="11" width="3.625" style="93" bestFit="1" customWidth="1"/>
    <col min="12" max="14" width="4" style="93" customWidth="1"/>
    <col min="15" max="15" width="5.375" style="93" customWidth="1"/>
    <col min="16" max="17" width="5.375" style="93" hidden="1" customWidth="1"/>
    <col min="18" max="19" width="8.25" style="94" hidden="1" customWidth="1"/>
    <col min="20" max="21" width="11" style="94" hidden="1" customWidth="1"/>
    <col min="22" max="22" width="4.625" style="94" hidden="1" customWidth="1"/>
    <col min="23" max="23" width="9.25" style="94" hidden="1" customWidth="1"/>
    <col min="24" max="24" width="4.625" style="94" hidden="1" customWidth="1"/>
    <col min="25" max="25" width="9.25" style="94" hidden="1" customWidth="1"/>
    <col min="26" max="26" width="4.625" style="94" hidden="1" customWidth="1"/>
    <col min="27" max="27" width="9.25" style="94" hidden="1" customWidth="1"/>
    <col min="28" max="28" width="4.625" style="94" hidden="1" customWidth="1"/>
    <col min="29" max="29" width="9.25" style="94" hidden="1" customWidth="1"/>
    <col min="30" max="31" width="9" style="95" hidden="1" customWidth="1"/>
    <col min="32" max="32" width="7.5" style="93" hidden="1" customWidth="1"/>
    <col min="33" max="33" width="9.5" style="93" hidden="1" customWidth="1"/>
    <col min="34" max="34" width="9.875" style="94" bestFit="1" customWidth="1"/>
    <col min="35" max="35" width="9.5" style="94" bestFit="1" customWidth="1"/>
    <col min="36" max="16384" width="11" style="93"/>
  </cols>
  <sheetData>
    <row r="2" spans="1:31" ht="21">
      <c r="C2" s="240" t="s">
        <v>21</v>
      </c>
      <c r="D2" s="240"/>
      <c r="H2" s="93" t="s">
        <v>113</v>
      </c>
      <c r="I2" s="241"/>
      <c r="J2" s="241"/>
      <c r="K2" s="241"/>
      <c r="L2" s="241"/>
      <c r="M2" s="241"/>
      <c r="N2" s="241"/>
      <c r="O2" s="241"/>
    </row>
    <row r="3" spans="1:31" ht="15.75" customHeight="1">
      <c r="C3" s="96"/>
      <c r="D3" s="96"/>
      <c r="J3" s="242">
        <f ca="1">NOW()</f>
        <v>43522.649079166666</v>
      </c>
      <c r="K3" s="242"/>
      <c r="L3" s="242"/>
      <c r="M3" s="242"/>
      <c r="N3" s="242"/>
    </row>
    <row r="4" spans="1:31" ht="15.75" customHeight="1">
      <c r="C4" s="97" t="s">
        <v>161</v>
      </c>
      <c r="D4" s="243" t="s">
        <v>124</v>
      </c>
      <c r="E4" s="244"/>
      <c r="F4" s="245"/>
      <c r="G4" s="98"/>
      <c r="H4" s="246" t="s">
        <v>160</v>
      </c>
      <c r="I4" s="247"/>
      <c r="J4" s="247"/>
      <c r="K4" s="247"/>
      <c r="L4" s="247"/>
      <c r="M4" s="247"/>
      <c r="N4" s="247"/>
      <c r="O4" s="247"/>
    </row>
    <row r="5" spans="1:31">
      <c r="D5" s="239" t="s">
        <v>166</v>
      </c>
      <c r="E5" s="239"/>
      <c r="F5" s="239"/>
      <c r="G5" s="239"/>
      <c r="H5" s="239"/>
      <c r="I5" s="239"/>
      <c r="J5" s="239"/>
      <c r="K5" s="239"/>
      <c r="R5" s="94">
        <f>MAX(R7:R24)</f>
        <v>0</v>
      </c>
      <c r="AE5" s="208">
        <f>SUM(AE7:AE26)</f>
        <v>0</v>
      </c>
    </row>
    <row r="6" spans="1:31">
      <c r="A6" s="93" t="s">
        <v>115</v>
      </c>
      <c r="C6" s="99"/>
      <c r="D6" s="100" t="s">
        <v>0</v>
      </c>
      <c r="E6" s="101" t="s">
        <v>136</v>
      </c>
      <c r="F6" s="100" t="s">
        <v>1</v>
      </c>
      <c r="G6" s="101" t="s">
        <v>136</v>
      </c>
      <c r="H6" s="100" t="s">
        <v>2</v>
      </c>
      <c r="I6" s="101" t="s">
        <v>136</v>
      </c>
      <c r="J6" s="100" t="s">
        <v>3</v>
      </c>
      <c r="K6" s="101" t="s">
        <v>136</v>
      </c>
      <c r="L6" s="100" t="s">
        <v>19</v>
      </c>
      <c r="M6" s="102" t="s">
        <v>20</v>
      </c>
      <c r="N6" s="103" t="s">
        <v>169</v>
      </c>
      <c r="O6" s="104" t="s">
        <v>153</v>
      </c>
      <c r="P6" s="105"/>
      <c r="Q6" s="106" t="s">
        <v>154</v>
      </c>
      <c r="R6" s="105" t="s">
        <v>148</v>
      </c>
      <c r="S6" s="105" t="s">
        <v>153</v>
      </c>
      <c r="T6" s="105"/>
      <c r="V6" s="107" t="s">
        <v>0</v>
      </c>
      <c r="W6" s="108" t="s">
        <v>109</v>
      </c>
      <c r="X6" s="107" t="s">
        <v>1</v>
      </c>
      <c r="Y6" s="108" t="s">
        <v>110</v>
      </c>
      <c r="Z6" s="107" t="s">
        <v>2</v>
      </c>
      <c r="AA6" s="108" t="s">
        <v>111</v>
      </c>
      <c r="AB6" s="107" t="s">
        <v>3</v>
      </c>
      <c r="AC6" s="108" t="s">
        <v>112</v>
      </c>
      <c r="AD6" s="109" t="s">
        <v>147</v>
      </c>
      <c r="AE6" s="206" t="s">
        <v>184</v>
      </c>
    </row>
    <row r="7" spans="1:31">
      <c r="A7" s="94">
        <v>1</v>
      </c>
      <c r="B7" s="94"/>
      <c r="C7" s="110" t="s">
        <v>4</v>
      </c>
      <c r="D7" s="31"/>
      <c r="E7" s="111"/>
      <c r="F7" s="24"/>
      <c r="G7" s="112"/>
      <c r="H7" s="39"/>
      <c r="I7" s="12"/>
      <c r="J7" s="13"/>
      <c r="K7" s="23"/>
      <c r="L7" s="21"/>
      <c r="M7" s="22"/>
      <c r="N7" s="45"/>
      <c r="O7" s="42" t="str">
        <f>IF(AND(ISERROR(S7),ISERROR(T7)),"",IF(ISNUMBER(S7),ROUND(S7,0),ROUND(T7,0)))</f>
        <v/>
      </c>
      <c r="P7" s="1"/>
      <c r="Q7" s="1" t="str">
        <f t="shared" ref="Q7:Q26" si="0">IF(A7=1,O7,"")</f>
        <v/>
      </c>
      <c r="R7" s="94">
        <f>COUNTIF(D7:K7,"x")</f>
        <v>0</v>
      </c>
      <c r="S7" s="93" t="e">
        <f>IF(AVERAGE(V7:AB7)&lt;1,0,AVERAGE(V7:AB7))</f>
        <v>#DIV/0!</v>
      </c>
      <c r="T7" s="94" t="e">
        <f>IF(AVERAGE(D7:J7)&lt;1,0,AVERAGE(D7:J7))</f>
        <v>#DIV/0!</v>
      </c>
      <c r="V7" s="212" t="str">
        <f t="shared" ref="V7:V24" si="1">IF(AND(ISNUMBER(D7),E7="",$A7=1),D7,"")</f>
        <v/>
      </c>
      <c r="W7" s="212"/>
      <c r="X7" s="212" t="str">
        <f t="shared" ref="X7:X24" si="2">IF(AND(ISNUMBER(F7),G7="",$A7=1),F7,"")</f>
        <v/>
      </c>
      <c r="Y7" s="212"/>
      <c r="Z7" s="212" t="str">
        <f t="shared" ref="Z7:Z24" si="3">IF(AND(ISNUMBER(H7),I7="",$A7=1),H7,"")</f>
        <v/>
      </c>
      <c r="AA7" s="212"/>
      <c r="AB7" s="212" t="str">
        <f t="shared" ref="AB7:AB24" si="4">IF(AND(ISNUMBER(J7),K7="",$A7=1),J7,"")</f>
        <v/>
      </c>
      <c r="AC7" s="212"/>
      <c r="AD7" s="207">
        <f>COUNT(V7:AB7)</f>
        <v>0</v>
      </c>
      <c r="AE7" s="207" t="str">
        <f>IF(Q7&lt;4,IF(Q7=0,2,1),"")</f>
        <v/>
      </c>
    </row>
    <row r="8" spans="1:31">
      <c r="A8" s="94">
        <v>1</v>
      </c>
      <c r="B8" s="94"/>
      <c r="C8" s="114" t="s">
        <v>5</v>
      </c>
      <c r="D8" s="32"/>
      <c r="E8" s="115"/>
      <c r="F8" s="8"/>
      <c r="G8" s="7"/>
      <c r="H8" s="33"/>
      <c r="I8" s="7"/>
      <c r="J8" s="8"/>
      <c r="K8" s="7"/>
      <c r="L8" s="9"/>
      <c r="M8" s="5"/>
      <c r="N8" s="116" t="str">
        <f>IF(ISBLANK(L8),"",IF(ISBLANK(M8),L8,IF((L8*2+M8)/3&lt;1,0,ROUND((L8*2+M8)/3,0))))</f>
        <v/>
      </c>
      <c r="O8" s="43" t="str">
        <f>IF(ISBLANK(L8),"",IF(AND(ISERROR(S8),ISERROR(T8)),"",IF(ISNUMBER(S8),ROUND(S8,0),ROUND(T8,0))))</f>
        <v/>
      </c>
      <c r="P8" s="1"/>
      <c r="Q8" s="1" t="str">
        <f t="shared" si="0"/>
        <v/>
      </c>
      <c r="R8" s="94">
        <f t="shared" ref="R8:R24" si="5">COUNTIF(D8:K8,"x")</f>
        <v>0</v>
      </c>
      <c r="S8" s="117" t="e">
        <f>IF((3*N8+SUM(V8:AB8))/(AD8+3)&lt;1,0,(3*N8+SUM(V8:AB8))/(AD8+3))</f>
        <v>#VALUE!</v>
      </c>
      <c r="T8" s="94" t="e">
        <f t="shared" ref="T8:T14" si="6">AVERAGE(D8:J8)</f>
        <v>#DIV/0!</v>
      </c>
      <c r="V8" s="212" t="str">
        <f t="shared" si="1"/>
        <v/>
      </c>
      <c r="W8" s="212"/>
      <c r="X8" s="212" t="str">
        <f t="shared" si="2"/>
        <v/>
      </c>
      <c r="Y8" s="212"/>
      <c r="Z8" s="212" t="str">
        <f t="shared" si="3"/>
        <v/>
      </c>
      <c r="AA8" s="212"/>
      <c r="AB8" s="212" t="str">
        <f t="shared" si="4"/>
        <v/>
      </c>
      <c r="AC8" s="212"/>
      <c r="AD8" s="207">
        <f t="shared" ref="AD8:AD24" si="7">COUNT(V8:AB8)</f>
        <v>0</v>
      </c>
      <c r="AE8" s="207"/>
    </row>
    <row r="9" spans="1:31">
      <c r="A9" s="94">
        <v>1</v>
      </c>
      <c r="B9" s="94"/>
      <c r="C9" s="114" t="s">
        <v>6</v>
      </c>
      <c r="D9" s="32"/>
      <c r="E9" s="115"/>
      <c r="F9" s="8"/>
      <c r="G9" s="7"/>
      <c r="H9" s="33"/>
      <c r="I9" s="7"/>
      <c r="J9" s="8"/>
      <c r="K9" s="7"/>
      <c r="L9" s="9"/>
      <c r="M9" s="5"/>
      <c r="N9" s="116" t="str">
        <f>IF(ISBLANK(L9),"",IF(ISBLANK(M9),L9,IF((L9*2+M9)/3&lt;1,0,ROUND((L9*2+M9)/3,0))))</f>
        <v/>
      </c>
      <c r="O9" s="43" t="str">
        <f>IF(ISBLANK(L9),"",IF(AND(ISERROR(S9),ISERROR(T9)),"",IF(ISNUMBER(S9),ROUND(S9,0),ROUND(T9,0))))</f>
        <v/>
      </c>
      <c r="P9" s="1"/>
      <c r="Q9" s="1" t="str">
        <f t="shared" si="0"/>
        <v/>
      </c>
      <c r="R9" s="94">
        <f t="shared" si="5"/>
        <v>0</v>
      </c>
      <c r="S9" s="117" t="e">
        <f t="shared" ref="S9:S10" si="8">IF((3*N9+SUM(V9:AB9))/(AD9+3)&lt;1,0,(3*N9+SUM(V9:AB9))/(AD9+3))</f>
        <v>#VALUE!</v>
      </c>
      <c r="T9" s="94" t="e">
        <f t="shared" si="6"/>
        <v>#DIV/0!</v>
      </c>
      <c r="V9" s="212" t="str">
        <f t="shared" si="1"/>
        <v/>
      </c>
      <c r="W9" s="212"/>
      <c r="X9" s="212" t="str">
        <f t="shared" si="2"/>
        <v/>
      </c>
      <c r="Y9" s="212"/>
      <c r="Z9" s="212" t="str">
        <f t="shared" si="3"/>
        <v/>
      </c>
      <c r="AA9" s="212"/>
      <c r="AB9" s="212" t="str">
        <f t="shared" si="4"/>
        <v/>
      </c>
      <c r="AC9" s="212"/>
      <c r="AD9" s="207">
        <f t="shared" si="7"/>
        <v>0</v>
      </c>
      <c r="AE9" s="207"/>
    </row>
    <row r="10" spans="1:31">
      <c r="A10" s="94">
        <v>1</v>
      </c>
      <c r="B10" s="94"/>
      <c r="C10" s="114" t="s">
        <v>9</v>
      </c>
      <c r="D10" s="32"/>
      <c r="E10" s="115"/>
      <c r="F10" s="8"/>
      <c r="G10" s="7"/>
      <c r="H10" s="33"/>
      <c r="I10" s="7"/>
      <c r="J10" s="8"/>
      <c r="K10" s="7"/>
      <c r="L10" s="9"/>
      <c r="M10" s="5"/>
      <c r="N10" s="116" t="str">
        <f>IF(ISBLANK(L10),"",IF(ISBLANK(M10),L10,IF((L10*2+M10)/3&lt;1,0,ROUND((L10*2+M10)/3,0))))</f>
        <v/>
      </c>
      <c r="O10" s="43" t="str">
        <f>IF(ISBLANK(L10),"",IF(AND(ISERROR(S10),ISERROR(T10)),"",IF(ISNUMBER(S10),ROUND(S10,0),ROUND(T10,0))))</f>
        <v/>
      </c>
      <c r="P10" s="1"/>
      <c r="Q10" s="1" t="str">
        <f t="shared" si="0"/>
        <v/>
      </c>
      <c r="R10" s="94">
        <f t="shared" si="5"/>
        <v>0</v>
      </c>
      <c r="S10" s="117" t="e">
        <f t="shared" si="8"/>
        <v>#VALUE!</v>
      </c>
      <c r="T10" s="94" t="e">
        <f t="shared" si="6"/>
        <v>#DIV/0!</v>
      </c>
      <c r="V10" s="212" t="str">
        <f t="shared" si="1"/>
        <v/>
      </c>
      <c r="W10" s="212"/>
      <c r="X10" s="212" t="str">
        <f t="shared" si="2"/>
        <v/>
      </c>
      <c r="Y10" s="212"/>
      <c r="Z10" s="212" t="str">
        <f t="shared" si="3"/>
        <v/>
      </c>
      <c r="AA10" s="212"/>
      <c r="AB10" s="212" t="str">
        <f t="shared" si="4"/>
        <v/>
      </c>
      <c r="AC10" s="212"/>
      <c r="AD10" s="207">
        <f t="shared" si="7"/>
        <v>0</v>
      </c>
      <c r="AE10" s="207"/>
    </row>
    <row r="11" spans="1:31">
      <c r="A11" s="94">
        <v>1</v>
      </c>
      <c r="B11" s="94"/>
      <c r="C11" s="114" t="s">
        <v>7</v>
      </c>
      <c r="D11" s="33"/>
      <c r="E11" s="7"/>
      <c r="F11" s="8"/>
      <c r="G11" s="7"/>
      <c r="H11" s="32"/>
      <c r="I11" s="115"/>
      <c r="J11" s="2"/>
      <c r="K11" s="115"/>
      <c r="L11" s="10"/>
      <c r="M11" s="6"/>
      <c r="N11" s="118"/>
      <c r="O11" s="43" t="str">
        <f t="shared" ref="O11:O24" si="9">IF(AND(ISERROR(S11),ISERROR(T11)),"",IF(ISNUMBER(S11),ROUND(S11,0),ROUND(T11,0)))</f>
        <v/>
      </c>
      <c r="P11" s="1"/>
      <c r="Q11" s="1" t="str">
        <f t="shared" si="0"/>
        <v/>
      </c>
      <c r="R11" s="94">
        <f t="shared" si="5"/>
        <v>0</v>
      </c>
      <c r="S11" s="93" t="e">
        <f>IF(AVERAGE(V11:AB11)&lt;1,0,AVERAGE(V11:AB11))</f>
        <v>#DIV/0!</v>
      </c>
      <c r="T11" s="94" t="e">
        <f>IF(AVERAGE(D11:J11)&lt;1,0,AVERAGE(D11:J11))</f>
        <v>#DIV/0!</v>
      </c>
      <c r="V11" s="212" t="str">
        <f t="shared" si="1"/>
        <v/>
      </c>
      <c r="W11" s="212"/>
      <c r="X11" s="212" t="str">
        <f t="shared" si="2"/>
        <v/>
      </c>
      <c r="Y11" s="212"/>
      <c r="Z11" s="212" t="str">
        <f t="shared" si="3"/>
        <v/>
      </c>
      <c r="AA11" s="212"/>
      <c r="AB11" s="212" t="str">
        <f t="shared" si="4"/>
        <v/>
      </c>
      <c r="AC11" s="212"/>
      <c r="AD11" s="207">
        <f t="shared" si="7"/>
        <v>0</v>
      </c>
      <c r="AE11" s="207" t="str">
        <f t="shared" ref="AE11:AE26" si="10">IF(Q11&lt;4,IF(Q11=0,2,1),"")</f>
        <v/>
      </c>
    </row>
    <row r="12" spans="1:31">
      <c r="A12" s="94">
        <v>1</v>
      </c>
      <c r="B12" s="94"/>
      <c r="C12" s="114" t="s">
        <v>8</v>
      </c>
      <c r="D12" s="32"/>
      <c r="E12" s="115"/>
      <c r="F12" s="2"/>
      <c r="G12" s="115"/>
      <c r="H12" s="33"/>
      <c r="I12" s="7"/>
      <c r="J12" s="8"/>
      <c r="K12" s="7"/>
      <c r="L12" s="10"/>
      <c r="M12" s="6"/>
      <c r="N12" s="118"/>
      <c r="O12" s="43" t="str">
        <f t="shared" si="9"/>
        <v/>
      </c>
      <c r="P12" s="1"/>
      <c r="Q12" s="1" t="str">
        <f t="shared" si="0"/>
        <v/>
      </c>
      <c r="R12" s="94">
        <f t="shared" si="5"/>
        <v>0</v>
      </c>
      <c r="S12" s="93" t="e">
        <f>IF(AVERAGE(V12:AB12)&lt;1,0,AVERAGE(V12:AB12))</f>
        <v>#DIV/0!</v>
      </c>
      <c r="T12" s="94" t="e">
        <f>IF(AVERAGE(D12:J12)&lt;1,0,AVERAGE(D12:J12))</f>
        <v>#DIV/0!</v>
      </c>
      <c r="V12" s="212" t="str">
        <f t="shared" si="1"/>
        <v/>
      </c>
      <c r="W12" s="212"/>
      <c r="X12" s="212" t="str">
        <f t="shared" si="2"/>
        <v/>
      </c>
      <c r="Y12" s="212"/>
      <c r="Z12" s="212" t="str">
        <f t="shared" si="3"/>
        <v/>
      </c>
      <c r="AA12" s="212"/>
      <c r="AB12" s="212" t="str">
        <f t="shared" si="4"/>
        <v/>
      </c>
      <c r="AC12" s="212"/>
      <c r="AD12" s="207">
        <f t="shared" si="7"/>
        <v>0</v>
      </c>
      <c r="AE12" s="207" t="str">
        <f t="shared" si="10"/>
        <v/>
      </c>
    </row>
    <row r="13" spans="1:31">
      <c r="A13" s="94">
        <v>0</v>
      </c>
      <c r="B13" s="94"/>
      <c r="C13" s="119" t="s">
        <v>130</v>
      </c>
      <c r="D13" s="34"/>
      <c r="E13" s="120"/>
      <c r="F13" s="17"/>
      <c r="G13" s="120"/>
      <c r="H13" s="40"/>
      <c r="I13" s="16"/>
      <c r="J13" s="18"/>
      <c r="K13" s="16"/>
      <c r="L13" s="19"/>
      <c r="M13" s="20"/>
      <c r="N13" s="121"/>
      <c r="O13" s="205" t="str">
        <f t="shared" si="9"/>
        <v/>
      </c>
      <c r="P13" s="1"/>
      <c r="Q13" s="1" t="str">
        <f t="shared" si="0"/>
        <v/>
      </c>
      <c r="R13" s="94">
        <f t="shared" si="5"/>
        <v>0</v>
      </c>
      <c r="S13" s="93" t="e">
        <f>IF(AVERAGE(V13:AB13)&lt;1,0,AVERAGE(V13:AB13))</f>
        <v>#DIV/0!</v>
      </c>
      <c r="T13" s="94" t="e">
        <f>IF(AVERAGE(D13:J13)&lt;1,0,AVERAGE(D13:J13))</f>
        <v>#DIV/0!</v>
      </c>
      <c r="V13" s="212" t="str">
        <f t="shared" si="1"/>
        <v/>
      </c>
      <c r="W13" s="212"/>
      <c r="X13" s="212" t="str">
        <f t="shared" si="2"/>
        <v/>
      </c>
      <c r="Y13" s="212"/>
      <c r="Z13" s="212" t="str">
        <f t="shared" si="3"/>
        <v/>
      </c>
      <c r="AA13" s="212"/>
      <c r="AB13" s="212" t="str">
        <f t="shared" si="4"/>
        <v/>
      </c>
      <c r="AC13" s="212"/>
      <c r="AD13" s="207">
        <f t="shared" si="7"/>
        <v>0</v>
      </c>
      <c r="AE13" s="207" t="str">
        <f t="shared" si="10"/>
        <v/>
      </c>
    </row>
    <row r="14" spans="1:31">
      <c r="A14" s="94">
        <f>IF(C14="-",0,1)</f>
        <v>1</v>
      </c>
      <c r="B14" s="94"/>
      <c r="C14" s="122" t="str">
        <f>VLOOKUP($D$4,Hinweise!$G$4:$N$10,3,FALSE)</f>
        <v>Päd./Psy.</v>
      </c>
      <c r="D14" s="31"/>
      <c r="E14" s="111"/>
      <c r="F14" s="13"/>
      <c r="G14" s="12"/>
      <c r="H14" s="39"/>
      <c r="I14" s="12"/>
      <c r="J14" s="13"/>
      <c r="K14" s="12"/>
      <c r="L14" s="14"/>
      <c r="M14" s="15"/>
      <c r="N14" s="123" t="str">
        <f>IF(ISBLANK(L14),"",IF(ISBLANK(M14),L14,IF((L14*2+M14)/3&lt;1,0,ROUND((L14*2+M14)/3,0))))</f>
        <v/>
      </c>
      <c r="O14" s="42" t="str">
        <f>IF(ISBLANK(L14),"",IF(AND(ISERROR(S14),ISERROR(T14)),"",IF(ISNUMBER(S14),ROUND(S14,0),ROUND(T14,0))))</f>
        <v/>
      </c>
      <c r="P14" s="1"/>
      <c r="Q14" s="1" t="str">
        <f t="shared" si="0"/>
        <v/>
      </c>
      <c r="R14" s="94">
        <f t="shared" si="5"/>
        <v>0</v>
      </c>
      <c r="S14" s="117" t="e">
        <f t="shared" ref="S14" si="11">IF((3*N14+SUM(V14:AB14))/(AD14+3)&lt;1,0,(3*N14+SUM(V14:AB14))/(AD14+3))</f>
        <v>#VALUE!</v>
      </c>
      <c r="T14" s="94" t="e">
        <f t="shared" si="6"/>
        <v>#DIV/0!</v>
      </c>
      <c r="V14" s="212" t="str">
        <f t="shared" si="1"/>
        <v/>
      </c>
      <c r="W14" s="212"/>
      <c r="X14" s="212" t="str">
        <f t="shared" si="2"/>
        <v/>
      </c>
      <c r="Y14" s="212"/>
      <c r="Z14" s="212" t="str">
        <f t="shared" si="3"/>
        <v/>
      </c>
      <c r="AA14" s="212"/>
      <c r="AB14" s="212" t="str">
        <f t="shared" si="4"/>
        <v/>
      </c>
      <c r="AC14" s="212"/>
      <c r="AD14" s="207">
        <f t="shared" si="7"/>
        <v>0</v>
      </c>
      <c r="AE14" s="207"/>
    </row>
    <row r="15" spans="1:31">
      <c r="A15" s="94">
        <f t="shared" ref="A15:A21" si="12">IF(C15="-",0,1)</f>
        <v>1</v>
      </c>
      <c r="B15" s="94"/>
      <c r="C15" s="124" t="str">
        <f>VLOOKUP($D$4,Hinweise!$G$4:$N$10,4,FALSE)</f>
        <v>Sozialwirtschaft und Recht</v>
      </c>
      <c r="D15" s="32"/>
      <c r="E15" s="115"/>
      <c r="F15" s="8"/>
      <c r="G15" s="7"/>
      <c r="H15" s="33"/>
      <c r="I15" s="7"/>
      <c r="J15" s="8"/>
      <c r="K15" s="7"/>
      <c r="L15" s="10"/>
      <c r="M15" s="6"/>
      <c r="N15" s="46"/>
      <c r="O15" s="43" t="str">
        <f t="shared" si="9"/>
        <v/>
      </c>
      <c r="P15" s="1"/>
      <c r="Q15" s="1" t="str">
        <f t="shared" si="0"/>
        <v/>
      </c>
      <c r="R15" s="94">
        <f t="shared" si="5"/>
        <v>0</v>
      </c>
      <c r="S15" s="93" t="e">
        <f>IF(AVERAGE(V15:AB15)&lt;1,0,AVERAGE(V15:AB15))</f>
        <v>#DIV/0!</v>
      </c>
      <c r="T15" s="94" t="e">
        <f>IF(AVERAGE(D15:J15)&lt;1,0,AVERAGE(D15:J15))</f>
        <v>#DIV/0!</v>
      </c>
      <c r="V15" s="212" t="str">
        <f t="shared" si="1"/>
        <v/>
      </c>
      <c r="W15" s="212"/>
      <c r="X15" s="212" t="str">
        <f t="shared" si="2"/>
        <v/>
      </c>
      <c r="Y15" s="212"/>
      <c r="Z15" s="212" t="str">
        <f t="shared" si="3"/>
        <v/>
      </c>
      <c r="AA15" s="212"/>
      <c r="AB15" s="212" t="str">
        <f t="shared" si="4"/>
        <v/>
      </c>
      <c r="AC15" s="212"/>
      <c r="AD15" s="207">
        <f t="shared" si="7"/>
        <v>0</v>
      </c>
      <c r="AE15" s="207" t="str">
        <f t="shared" si="10"/>
        <v/>
      </c>
    </row>
    <row r="16" spans="1:31" hidden="1">
      <c r="A16" s="94">
        <f t="shared" si="12"/>
        <v>0</v>
      </c>
      <c r="B16" s="94"/>
      <c r="C16" s="124" t="str">
        <f>VLOOKUP($D$4,Hinweise!$G$4:$N$10,5,FALSE)</f>
        <v>-</v>
      </c>
      <c r="D16" s="32"/>
      <c r="E16" s="115"/>
      <c r="F16" s="125"/>
      <c r="G16" s="115"/>
      <c r="H16" s="33"/>
      <c r="I16" s="7"/>
      <c r="J16" s="8"/>
      <c r="K16" s="7"/>
      <c r="L16" s="10"/>
      <c r="M16" s="6"/>
      <c r="N16" s="46"/>
      <c r="O16" s="43" t="str">
        <f t="shared" si="9"/>
        <v/>
      </c>
      <c r="P16" s="1"/>
      <c r="Q16" s="1" t="str">
        <f t="shared" si="0"/>
        <v/>
      </c>
      <c r="R16" s="94">
        <f t="shared" si="5"/>
        <v>0</v>
      </c>
      <c r="S16" s="93" t="e">
        <f t="shared" ref="S16:S24" si="13">IF(AVERAGE(V16:AB16)&lt;1,0,AVERAGE(V16:AB16))</f>
        <v>#DIV/0!</v>
      </c>
      <c r="T16" s="94" t="e">
        <f t="shared" ref="T16:T24" si="14">IF(AVERAGE(D16:J16)&lt;1,0,AVERAGE(D16:J16))</f>
        <v>#DIV/0!</v>
      </c>
      <c r="V16" s="212" t="str">
        <f t="shared" si="1"/>
        <v/>
      </c>
      <c r="W16" s="212"/>
      <c r="X16" s="212" t="str">
        <f t="shared" si="2"/>
        <v/>
      </c>
      <c r="Y16" s="212"/>
      <c r="Z16" s="212" t="str">
        <f t="shared" si="3"/>
        <v/>
      </c>
      <c r="AA16" s="212"/>
      <c r="AB16" s="212" t="str">
        <f t="shared" si="4"/>
        <v/>
      </c>
      <c r="AC16" s="212"/>
      <c r="AD16" s="207">
        <f t="shared" si="7"/>
        <v>0</v>
      </c>
      <c r="AE16" s="207" t="str">
        <f t="shared" si="10"/>
        <v/>
      </c>
    </row>
    <row r="17" spans="1:31">
      <c r="A17" s="94">
        <f t="shared" si="12"/>
        <v>1</v>
      </c>
      <c r="B17" s="94"/>
      <c r="C17" s="124" t="str">
        <f>VLOOKUP($D$4,Hinweise!$G$4:$N$10,6,FALSE)</f>
        <v>Chemie</v>
      </c>
      <c r="D17" s="33"/>
      <c r="E17" s="7"/>
      <c r="F17" s="8"/>
      <c r="G17" s="7"/>
      <c r="H17" s="4"/>
      <c r="I17" s="115"/>
      <c r="J17" s="3"/>
      <c r="K17" s="115"/>
      <c r="L17" s="10"/>
      <c r="M17" s="6"/>
      <c r="N17" s="46"/>
      <c r="O17" s="43" t="str">
        <f t="shared" si="9"/>
        <v/>
      </c>
      <c r="P17" s="1"/>
      <c r="Q17" s="1" t="str">
        <f t="shared" si="0"/>
        <v/>
      </c>
      <c r="R17" s="94">
        <f t="shared" si="5"/>
        <v>0</v>
      </c>
      <c r="S17" s="93" t="e">
        <f t="shared" si="13"/>
        <v>#DIV/0!</v>
      </c>
      <c r="T17" s="94" t="e">
        <f t="shared" si="14"/>
        <v>#DIV/0!</v>
      </c>
      <c r="V17" s="212" t="str">
        <f t="shared" si="1"/>
        <v/>
      </c>
      <c r="W17" s="212"/>
      <c r="X17" s="212" t="str">
        <f t="shared" si="2"/>
        <v/>
      </c>
      <c r="Y17" s="212"/>
      <c r="Z17" s="212" t="str">
        <f t="shared" si="3"/>
        <v/>
      </c>
      <c r="AA17" s="212"/>
      <c r="AB17" s="212" t="str">
        <f t="shared" si="4"/>
        <v/>
      </c>
      <c r="AC17" s="212"/>
      <c r="AD17" s="207">
        <f t="shared" si="7"/>
        <v>0</v>
      </c>
      <c r="AE17" s="207" t="str">
        <f t="shared" si="10"/>
        <v/>
      </c>
    </row>
    <row r="18" spans="1:31" hidden="1">
      <c r="A18" s="94">
        <f t="shared" si="12"/>
        <v>0</v>
      </c>
      <c r="B18" s="94"/>
      <c r="C18" s="124" t="str">
        <f>VLOOKUP($D$4,Hinweise!$G$4:$N$10,7,FALSE)</f>
        <v>-</v>
      </c>
      <c r="D18" s="126"/>
      <c r="E18" s="115"/>
      <c r="F18" s="8"/>
      <c r="G18" s="7"/>
      <c r="H18" s="33"/>
      <c r="I18" s="7"/>
      <c r="J18" s="8"/>
      <c r="K18" s="7"/>
      <c r="L18" s="10"/>
      <c r="M18" s="6"/>
      <c r="N18" s="46"/>
      <c r="O18" s="43" t="str">
        <f t="shared" si="9"/>
        <v/>
      </c>
      <c r="P18" s="1"/>
      <c r="Q18" s="1" t="str">
        <f t="shared" si="0"/>
        <v/>
      </c>
      <c r="R18" s="94">
        <f t="shared" si="5"/>
        <v>0</v>
      </c>
      <c r="S18" s="93" t="e">
        <f t="shared" si="13"/>
        <v>#DIV/0!</v>
      </c>
      <c r="T18" s="94" t="e">
        <f t="shared" si="14"/>
        <v>#DIV/0!</v>
      </c>
      <c r="V18" s="212" t="str">
        <f t="shared" si="1"/>
        <v/>
      </c>
      <c r="W18" s="212"/>
      <c r="X18" s="212" t="str">
        <f t="shared" si="2"/>
        <v/>
      </c>
      <c r="Y18" s="212"/>
      <c r="Z18" s="212" t="str">
        <f t="shared" si="3"/>
        <v/>
      </c>
      <c r="AA18" s="212"/>
      <c r="AB18" s="212" t="str">
        <f t="shared" si="4"/>
        <v/>
      </c>
      <c r="AC18" s="212"/>
      <c r="AD18" s="207">
        <f t="shared" si="7"/>
        <v>0</v>
      </c>
      <c r="AE18" s="207" t="str">
        <f t="shared" si="10"/>
        <v/>
      </c>
    </row>
    <row r="19" spans="1:31" hidden="1">
      <c r="A19" s="94">
        <f t="shared" si="12"/>
        <v>0</v>
      </c>
      <c r="B19" s="94"/>
      <c r="C19" s="124" t="str">
        <f>VLOOKUP($D$4,Hinweise!$G$4:$P$10,8,FALSE)</f>
        <v>-</v>
      </c>
      <c r="D19" s="32"/>
      <c r="E19" s="115"/>
      <c r="F19" s="8"/>
      <c r="G19" s="7"/>
      <c r="H19" s="33"/>
      <c r="I19" s="7"/>
      <c r="J19" s="8"/>
      <c r="K19" s="7"/>
      <c r="L19" s="10"/>
      <c r="M19" s="6"/>
      <c r="N19" s="46"/>
      <c r="O19" s="43" t="str">
        <f t="shared" si="9"/>
        <v/>
      </c>
      <c r="P19" s="1"/>
      <c r="Q19" s="1" t="str">
        <f t="shared" si="0"/>
        <v/>
      </c>
      <c r="R19" s="94">
        <f t="shared" si="5"/>
        <v>0</v>
      </c>
      <c r="S19" s="93" t="e">
        <f t="shared" si="13"/>
        <v>#DIV/0!</v>
      </c>
      <c r="T19" s="94" t="e">
        <f t="shared" si="14"/>
        <v>#DIV/0!</v>
      </c>
      <c r="V19" s="212" t="str">
        <f t="shared" si="1"/>
        <v/>
      </c>
      <c r="W19" s="212"/>
      <c r="X19" s="212" t="str">
        <f t="shared" si="2"/>
        <v/>
      </c>
      <c r="Y19" s="212"/>
      <c r="Z19" s="212" t="str">
        <f t="shared" si="3"/>
        <v/>
      </c>
      <c r="AA19" s="212"/>
      <c r="AB19" s="212" t="str">
        <f t="shared" si="4"/>
        <v/>
      </c>
      <c r="AC19" s="212"/>
      <c r="AD19" s="207">
        <f t="shared" si="7"/>
        <v>0</v>
      </c>
      <c r="AE19" s="207" t="str">
        <f t="shared" si="10"/>
        <v/>
      </c>
    </row>
    <row r="20" spans="1:31">
      <c r="A20" s="94">
        <f t="shared" si="12"/>
        <v>1</v>
      </c>
      <c r="B20" s="94"/>
      <c r="C20" s="124" t="str">
        <f>VLOOKUP($D$4,Hinweise!$G$4:$P$10,9,FALSE)</f>
        <v>Biologie</v>
      </c>
      <c r="D20" s="32"/>
      <c r="E20" s="115"/>
      <c r="F20" s="2"/>
      <c r="G20" s="115"/>
      <c r="H20" s="33"/>
      <c r="I20" s="7"/>
      <c r="J20" s="8"/>
      <c r="K20" s="7"/>
      <c r="L20" s="10"/>
      <c r="M20" s="6"/>
      <c r="N20" s="46"/>
      <c r="O20" s="43" t="str">
        <f t="shared" si="9"/>
        <v/>
      </c>
      <c r="P20" s="1"/>
      <c r="Q20" s="1" t="str">
        <f t="shared" si="0"/>
        <v/>
      </c>
      <c r="R20" s="94">
        <f t="shared" si="5"/>
        <v>0</v>
      </c>
      <c r="S20" s="93" t="e">
        <f t="shared" si="13"/>
        <v>#DIV/0!</v>
      </c>
      <c r="T20" s="94" t="e">
        <f t="shared" si="14"/>
        <v>#DIV/0!</v>
      </c>
      <c r="V20" s="212" t="str">
        <f t="shared" si="1"/>
        <v/>
      </c>
      <c r="W20" s="212"/>
      <c r="X20" s="212" t="str">
        <f t="shared" si="2"/>
        <v/>
      </c>
      <c r="Y20" s="212"/>
      <c r="Z20" s="212" t="str">
        <f t="shared" si="3"/>
        <v/>
      </c>
      <c r="AA20" s="212"/>
      <c r="AB20" s="212" t="str">
        <f t="shared" si="4"/>
        <v/>
      </c>
      <c r="AC20" s="212"/>
      <c r="AD20" s="207">
        <f t="shared" si="7"/>
        <v>0</v>
      </c>
      <c r="AE20" s="207" t="str">
        <f t="shared" si="10"/>
        <v/>
      </c>
    </row>
    <row r="21" spans="1:31">
      <c r="A21" s="94">
        <f t="shared" si="12"/>
        <v>1</v>
      </c>
      <c r="B21" s="94"/>
      <c r="C21" s="127" t="str">
        <f>VLOOKUP($D$4,Hinweise!$G$4:$P$10,10,FALSE)</f>
        <v>Soziologie</v>
      </c>
      <c r="D21" s="48"/>
      <c r="E21" s="128"/>
      <c r="F21" s="11"/>
      <c r="G21" s="128"/>
      <c r="H21" s="50"/>
      <c r="I21" s="49"/>
      <c r="J21" s="51"/>
      <c r="K21" s="49"/>
      <c r="L21" s="52"/>
      <c r="M21" s="53"/>
      <c r="N21" s="54"/>
      <c r="O21" s="55" t="str">
        <f t="shared" si="9"/>
        <v/>
      </c>
      <c r="P21" s="1"/>
      <c r="Q21" s="1" t="str">
        <f t="shared" si="0"/>
        <v/>
      </c>
      <c r="R21" s="94">
        <f t="shared" si="5"/>
        <v>0</v>
      </c>
      <c r="S21" s="93" t="e">
        <f t="shared" si="13"/>
        <v>#DIV/0!</v>
      </c>
      <c r="T21" s="94" t="e">
        <f t="shared" si="14"/>
        <v>#DIV/0!</v>
      </c>
      <c r="V21" s="212" t="str">
        <f t="shared" si="1"/>
        <v/>
      </c>
      <c r="W21" s="212"/>
      <c r="X21" s="212" t="str">
        <f t="shared" si="2"/>
        <v/>
      </c>
      <c r="Y21" s="212"/>
      <c r="Z21" s="212" t="str">
        <f t="shared" si="3"/>
        <v/>
      </c>
      <c r="AA21" s="212"/>
      <c r="AB21" s="212" t="str">
        <f t="shared" si="4"/>
        <v/>
      </c>
      <c r="AC21" s="212"/>
      <c r="AD21" s="207">
        <f t="shared" si="7"/>
        <v>0</v>
      </c>
      <c r="AE21" s="207" t="str">
        <f t="shared" si="10"/>
        <v/>
      </c>
    </row>
    <row r="22" spans="1:31">
      <c r="A22" s="94">
        <f>IF(OR(C22="-",VLOOKUP(C22,Hinweise!$C$6:$D$37,2,FALSE)=0),0,1)</f>
        <v>1</v>
      </c>
      <c r="B22" s="94"/>
      <c r="C22" s="37" t="s">
        <v>27</v>
      </c>
      <c r="D22" s="35"/>
      <c r="E22" s="112"/>
      <c r="F22" s="24"/>
      <c r="G22" s="112"/>
      <c r="H22" s="41"/>
      <c r="I22" s="23"/>
      <c r="J22" s="25"/>
      <c r="K22" s="23"/>
      <c r="L22" s="26"/>
      <c r="M22" s="27"/>
      <c r="N22" s="45"/>
      <c r="O22" s="56" t="str">
        <f t="shared" si="9"/>
        <v/>
      </c>
      <c r="P22" s="1"/>
      <c r="Q22" s="1" t="str">
        <f t="shared" si="0"/>
        <v/>
      </c>
      <c r="R22" s="94">
        <f t="shared" si="5"/>
        <v>0</v>
      </c>
      <c r="S22" s="93" t="e">
        <f t="shared" si="13"/>
        <v>#DIV/0!</v>
      </c>
      <c r="T22" s="94" t="e">
        <f t="shared" si="14"/>
        <v>#DIV/0!</v>
      </c>
      <c r="V22" s="212" t="str">
        <f t="shared" si="1"/>
        <v/>
      </c>
      <c r="W22" s="212"/>
      <c r="X22" s="212" t="str">
        <f t="shared" si="2"/>
        <v/>
      </c>
      <c r="Y22" s="212"/>
      <c r="Z22" s="212" t="str">
        <f t="shared" si="3"/>
        <v/>
      </c>
      <c r="AA22" s="212"/>
      <c r="AB22" s="212" t="str">
        <f t="shared" si="4"/>
        <v/>
      </c>
      <c r="AC22" s="212"/>
      <c r="AD22" s="207">
        <f t="shared" si="7"/>
        <v>0</v>
      </c>
      <c r="AE22" s="207" t="str">
        <f t="shared" si="10"/>
        <v/>
      </c>
    </row>
    <row r="23" spans="1:31">
      <c r="A23" s="94">
        <f>IF(OR(C23="-",VLOOKUP(C23,Hinweise!$C$6:$D$37,2,FALSE)=0),0,1)</f>
        <v>0</v>
      </c>
      <c r="B23" s="94"/>
      <c r="C23" s="38" t="s">
        <v>132</v>
      </c>
      <c r="D23" s="32"/>
      <c r="E23" s="115"/>
      <c r="F23" s="2"/>
      <c r="G23" s="115"/>
      <c r="H23" s="33"/>
      <c r="I23" s="7"/>
      <c r="J23" s="8"/>
      <c r="K23" s="7"/>
      <c r="L23" s="10"/>
      <c r="M23" s="6"/>
      <c r="N23" s="46"/>
      <c r="O23" s="56" t="str">
        <f t="shared" si="9"/>
        <v/>
      </c>
      <c r="P23" s="1"/>
      <c r="Q23" s="1" t="str">
        <f t="shared" si="0"/>
        <v/>
      </c>
      <c r="R23" s="94">
        <f t="shared" si="5"/>
        <v>0</v>
      </c>
      <c r="S23" s="93" t="e">
        <f t="shared" si="13"/>
        <v>#DIV/0!</v>
      </c>
      <c r="T23" s="94" t="e">
        <f t="shared" si="14"/>
        <v>#DIV/0!</v>
      </c>
      <c r="V23" s="212" t="str">
        <f t="shared" si="1"/>
        <v/>
      </c>
      <c r="W23" s="212"/>
      <c r="X23" s="212" t="str">
        <f t="shared" si="2"/>
        <v/>
      </c>
      <c r="Y23" s="212"/>
      <c r="Z23" s="212" t="str">
        <f t="shared" si="3"/>
        <v/>
      </c>
      <c r="AA23" s="212"/>
      <c r="AB23" s="212" t="str">
        <f t="shared" si="4"/>
        <v/>
      </c>
      <c r="AC23" s="212"/>
      <c r="AD23" s="207">
        <f t="shared" si="7"/>
        <v>0</v>
      </c>
      <c r="AE23" s="207" t="str">
        <f t="shared" si="10"/>
        <v/>
      </c>
    </row>
    <row r="24" spans="1:31">
      <c r="A24" s="94">
        <f>IF(OR(C24="-",VLOOKUP(C24,Hinweise!$C$6:$D$37,2,FALSE)=0),0,1)</f>
        <v>0</v>
      </c>
      <c r="B24" s="94"/>
      <c r="C24" s="57" t="s">
        <v>129</v>
      </c>
      <c r="D24" s="48"/>
      <c r="E24" s="128"/>
      <c r="F24" s="11"/>
      <c r="G24" s="128"/>
      <c r="H24" s="50"/>
      <c r="I24" s="49"/>
      <c r="J24" s="51"/>
      <c r="K24" s="58"/>
      <c r="L24" s="52"/>
      <c r="M24" s="53"/>
      <c r="N24" s="54"/>
      <c r="O24" s="56" t="str">
        <f t="shared" si="9"/>
        <v/>
      </c>
      <c r="P24" s="1"/>
      <c r="Q24" s="1" t="str">
        <f t="shared" si="0"/>
        <v/>
      </c>
      <c r="R24" s="94">
        <f t="shared" si="5"/>
        <v>0</v>
      </c>
      <c r="S24" s="93" t="e">
        <f t="shared" si="13"/>
        <v>#DIV/0!</v>
      </c>
      <c r="T24" s="94" t="e">
        <f t="shared" si="14"/>
        <v>#DIV/0!</v>
      </c>
      <c r="V24" s="212" t="str">
        <f t="shared" si="1"/>
        <v/>
      </c>
      <c r="W24" s="212"/>
      <c r="X24" s="212" t="str">
        <f t="shared" si="2"/>
        <v/>
      </c>
      <c r="Y24" s="212"/>
      <c r="Z24" s="212" t="str">
        <f t="shared" si="3"/>
        <v/>
      </c>
      <c r="AA24" s="212"/>
      <c r="AB24" s="212" t="str">
        <f t="shared" si="4"/>
        <v/>
      </c>
      <c r="AC24" s="212"/>
      <c r="AD24" s="207">
        <f t="shared" si="7"/>
        <v>0</v>
      </c>
      <c r="AE24" s="207" t="str">
        <f t="shared" si="10"/>
        <v/>
      </c>
    </row>
    <row r="25" spans="1:31">
      <c r="A25" s="94">
        <v>1</v>
      </c>
      <c r="B25" s="94"/>
      <c r="C25" s="110" t="s">
        <v>17</v>
      </c>
      <c r="D25" s="35"/>
      <c r="E25" s="59"/>
      <c r="F25" s="24"/>
      <c r="G25" s="59"/>
      <c r="H25" s="230"/>
      <c r="I25" s="230"/>
      <c r="J25" s="230"/>
      <c r="K25" s="230"/>
      <c r="L25" s="26"/>
      <c r="M25" s="27"/>
      <c r="N25" s="45"/>
      <c r="O25" s="56" t="str">
        <f>IF(H25="","",H25)</f>
        <v/>
      </c>
      <c r="P25" s="1"/>
      <c r="Q25" s="1" t="str">
        <f t="shared" si="0"/>
        <v/>
      </c>
      <c r="S25" s="93"/>
      <c r="T25" s="94" t="str">
        <f t="shared" ref="T25:T26" si="15">IF(A25=0,AVERAGE(D25:J25),"")</f>
        <v/>
      </c>
      <c r="V25" s="1"/>
      <c r="W25" s="1"/>
      <c r="X25" s="1"/>
      <c r="Y25" s="1"/>
      <c r="Z25" s="1"/>
      <c r="AA25" s="1"/>
      <c r="AB25" s="1"/>
      <c r="AC25" s="1"/>
      <c r="AD25" s="129">
        <f>SUM(AD7:AD24)</f>
        <v>0</v>
      </c>
      <c r="AE25" s="207" t="str">
        <f t="shared" si="10"/>
        <v/>
      </c>
    </row>
    <row r="26" spans="1:31">
      <c r="A26" s="94">
        <v>1</v>
      </c>
      <c r="B26" s="94"/>
      <c r="C26" s="119" t="s">
        <v>18</v>
      </c>
      <c r="D26" s="36"/>
      <c r="E26" s="28"/>
      <c r="F26" s="29"/>
      <c r="G26" s="28"/>
      <c r="H26" s="34"/>
      <c r="I26" s="30"/>
      <c r="J26" s="17"/>
      <c r="K26" s="131"/>
      <c r="L26" s="19"/>
      <c r="M26" s="20"/>
      <c r="N26" s="47"/>
      <c r="O26" s="44" t="str">
        <f>IF(ISERROR(S26),"",IF(S26&lt;1,0,ROUND(S26,0)))</f>
        <v/>
      </c>
      <c r="P26" s="1"/>
      <c r="Q26" s="1" t="str">
        <f t="shared" si="0"/>
        <v/>
      </c>
      <c r="S26" s="93" t="e">
        <f>AVERAGE(D26:F26)</f>
        <v>#DIV/0!</v>
      </c>
      <c r="T26" s="94" t="str">
        <f t="shared" si="15"/>
        <v/>
      </c>
      <c r="V26" s="1"/>
      <c r="W26" s="1"/>
      <c r="X26" s="1"/>
      <c r="Y26" s="1"/>
      <c r="Z26" s="1"/>
      <c r="AA26" s="1"/>
      <c r="AB26" s="1"/>
      <c r="AC26" s="1"/>
      <c r="AD26" s="130"/>
      <c r="AE26" s="207" t="str">
        <f t="shared" si="10"/>
        <v/>
      </c>
    </row>
    <row r="27" spans="1:31">
      <c r="C27" s="132" t="s">
        <v>159</v>
      </c>
      <c r="D27" s="231" t="s">
        <v>25</v>
      </c>
      <c r="E27" s="231"/>
      <c r="F27" s="231"/>
      <c r="G27" s="231"/>
      <c r="H27" s="231"/>
      <c r="I27" s="231"/>
      <c r="J27" s="231"/>
      <c r="K27" s="231"/>
    </row>
    <row r="28" spans="1:31">
      <c r="D28" s="232" t="str">
        <f>IF(AE5&gt;=3,"Zur Prüfung nicht zugelassen","")</f>
        <v/>
      </c>
      <c r="E28" s="232"/>
      <c r="F28" s="232"/>
      <c r="G28" s="232"/>
      <c r="H28" s="232"/>
      <c r="I28" s="232"/>
      <c r="J28" s="232"/>
      <c r="K28" s="232"/>
    </row>
    <row r="29" spans="1:31">
      <c r="C29" s="133" t="s">
        <v>156</v>
      </c>
      <c r="D29" s="233">
        <f>3*SUM(N8:N14)</f>
        <v>0</v>
      </c>
      <c r="E29" s="234"/>
      <c r="F29" s="233" t="s">
        <v>181</v>
      </c>
      <c r="G29" s="234"/>
      <c r="H29" s="204">
        <f>U46</f>
        <v>0</v>
      </c>
      <c r="J29" s="200"/>
      <c r="K29" s="201"/>
      <c r="L29" s="210" t="s">
        <v>168</v>
      </c>
      <c r="M29" s="210" t="s">
        <v>153</v>
      </c>
      <c r="N29" s="211" t="s">
        <v>169</v>
      </c>
      <c r="R29" s="108" t="s">
        <v>24</v>
      </c>
      <c r="S29" s="108" t="s">
        <v>172</v>
      </c>
      <c r="T29" s="108" t="s">
        <v>173</v>
      </c>
      <c r="U29" s="108" t="s">
        <v>174</v>
      </c>
    </row>
    <row r="30" spans="1:31">
      <c r="C30" s="99" t="s">
        <v>167</v>
      </c>
      <c r="D30" s="233">
        <f>SUM(V7:AC24)</f>
        <v>0</v>
      </c>
      <c r="E30" s="234"/>
      <c r="F30" s="233" t="s">
        <v>157</v>
      </c>
      <c r="G30" s="234"/>
      <c r="H30" s="215">
        <f>S46</f>
        <v>0</v>
      </c>
      <c r="J30" s="137" t="s">
        <v>104</v>
      </c>
      <c r="K30" s="138"/>
      <c r="L30" s="139">
        <f>S30</f>
        <v>0</v>
      </c>
      <c r="M30" s="139">
        <f>T30</f>
        <v>0</v>
      </c>
      <c r="N30" s="140">
        <f>U30</f>
        <v>0</v>
      </c>
      <c r="R30" s="212">
        <v>0</v>
      </c>
      <c r="S30" s="212">
        <f t="shared" ref="S30:S45" si="16">COUNTIF($V$7:$AC$24,R30)</f>
        <v>0</v>
      </c>
      <c r="T30" s="212">
        <f>COUNTIF($Q$7:$Q$26,R30)</f>
        <v>0</v>
      </c>
      <c r="U30" s="212">
        <f t="shared" ref="U30:U45" si="17">COUNTIF($N$8:$N$14,R30)</f>
        <v>0</v>
      </c>
    </row>
    <row r="31" spans="1:31">
      <c r="C31" s="133" t="s">
        <v>22</v>
      </c>
      <c r="D31" s="233">
        <f>H25</f>
        <v>0</v>
      </c>
      <c r="E31" s="234"/>
      <c r="F31" s="134"/>
      <c r="G31" s="135"/>
      <c r="H31" s="136"/>
      <c r="J31" s="137" t="s">
        <v>105</v>
      </c>
      <c r="K31" s="138"/>
      <c r="L31" s="139">
        <f t="shared" ref="L31:N35" si="18">S31</f>
        <v>0</v>
      </c>
      <c r="M31" s="139">
        <f t="shared" si="18"/>
        <v>0</v>
      </c>
      <c r="N31" s="140">
        <f t="shared" si="18"/>
        <v>0</v>
      </c>
      <c r="R31" s="212">
        <v>1</v>
      </c>
      <c r="S31" s="212">
        <f t="shared" si="16"/>
        <v>0</v>
      </c>
      <c r="T31" s="212">
        <f t="shared" ref="T31:T45" si="19">COUNTIF($Q$7:$Q$26,R31)</f>
        <v>0</v>
      </c>
      <c r="U31" s="212">
        <f t="shared" si="17"/>
        <v>0</v>
      </c>
    </row>
    <row r="32" spans="1:31">
      <c r="C32" s="133" t="s">
        <v>155</v>
      </c>
      <c r="D32" s="233">
        <f>D26+F26</f>
        <v>0</v>
      </c>
      <c r="E32" s="234"/>
      <c r="F32" s="134"/>
      <c r="G32" s="135"/>
      <c r="H32" s="136"/>
      <c r="J32" s="137" t="s">
        <v>106</v>
      </c>
      <c r="K32" s="138"/>
      <c r="L32" s="139">
        <f t="shared" si="18"/>
        <v>0</v>
      </c>
      <c r="M32" s="139">
        <f t="shared" si="18"/>
        <v>0</v>
      </c>
      <c r="N32" s="140">
        <f t="shared" si="18"/>
        <v>0</v>
      </c>
      <c r="R32" s="212">
        <v>2</v>
      </c>
      <c r="S32" s="212">
        <f t="shared" si="16"/>
        <v>0</v>
      </c>
      <c r="T32" s="212">
        <f t="shared" si="19"/>
        <v>0</v>
      </c>
      <c r="U32" s="212">
        <f t="shared" si="17"/>
        <v>0</v>
      </c>
    </row>
    <row r="33" spans="3:21">
      <c r="C33" s="141" t="s">
        <v>158</v>
      </c>
      <c r="D33" s="228">
        <f>SUM(D29:D32)</f>
        <v>0</v>
      </c>
      <c r="E33" s="229"/>
      <c r="F33" s="134"/>
      <c r="G33" s="135"/>
      <c r="H33" s="136"/>
      <c r="J33" s="137" t="s">
        <v>107</v>
      </c>
      <c r="K33" s="138"/>
      <c r="L33" s="139">
        <f t="shared" si="18"/>
        <v>0</v>
      </c>
      <c r="M33" s="139">
        <f t="shared" si="18"/>
        <v>0</v>
      </c>
      <c r="N33" s="140">
        <f t="shared" si="18"/>
        <v>0</v>
      </c>
      <c r="R33" s="212">
        <v>3</v>
      </c>
      <c r="S33" s="212">
        <f t="shared" si="16"/>
        <v>0</v>
      </c>
      <c r="T33" s="212">
        <f t="shared" si="19"/>
        <v>0</v>
      </c>
      <c r="U33" s="212">
        <f t="shared" si="17"/>
        <v>0</v>
      </c>
    </row>
    <row r="34" spans="3:21">
      <c r="C34" s="141" t="s">
        <v>23</v>
      </c>
      <c r="D34" s="235" t="str">
        <f>IF(D35="bestanden",INT(F34*10)/10,"")</f>
        <v/>
      </c>
      <c r="E34" s="236"/>
      <c r="F34" s="213">
        <f>17/3-5*D33/600</f>
        <v>5.666666666666667</v>
      </c>
      <c r="G34" s="134"/>
      <c r="H34" s="136"/>
      <c r="J34" s="143" t="s">
        <v>149</v>
      </c>
      <c r="K34" s="144"/>
      <c r="L34" s="145">
        <f t="shared" si="18"/>
        <v>0</v>
      </c>
      <c r="M34" s="145">
        <f t="shared" si="18"/>
        <v>0</v>
      </c>
      <c r="N34" s="146">
        <f t="shared" si="18"/>
        <v>0</v>
      </c>
      <c r="R34" s="212">
        <v>4</v>
      </c>
      <c r="S34" s="212">
        <f t="shared" si="16"/>
        <v>0</v>
      </c>
      <c r="T34" s="212">
        <f t="shared" si="19"/>
        <v>0</v>
      </c>
      <c r="U34" s="212">
        <f t="shared" si="17"/>
        <v>0</v>
      </c>
    </row>
    <row r="35" spans="3:21">
      <c r="C35" s="141" t="s">
        <v>108</v>
      </c>
      <c r="D35" s="237" t="str">
        <f>IF(AND(E41=0,H30=25,U46=4),"bestanden","nicht bestanden")</f>
        <v>nicht bestanden</v>
      </c>
      <c r="E35" s="238"/>
      <c r="F35" s="228"/>
      <c r="G35" s="135"/>
      <c r="H35" s="136"/>
      <c r="J35" s="143" t="s">
        <v>150</v>
      </c>
      <c r="K35" s="144"/>
      <c r="L35" s="145">
        <f t="shared" si="18"/>
        <v>0</v>
      </c>
      <c r="M35" s="145">
        <f t="shared" si="18"/>
        <v>0</v>
      </c>
      <c r="N35" s="146">
        <f t="shared" si="18"/>
        <v>0</v>
      </c>
      <c r="R35" s="212">
        <v>5</v>
      </c>
      <c r="S35" s="212">
        <f t="shared" si="16"/>
        <v>0</v>
      </c>
      <c r="T35" s="212">
        <f t="shared" si="19"/>
        <v>0</v>
      </c>
      <c r="U35" s="212">
        <f t="shared" si="17"/>
        <v>0</v>
      </c>
    </row>
    <row r="36" spans="3:21">
      <c r="J36" s="228" t="s">
        <v>151</v>
      </c>
      <c r="K36" s="229"/>
      <c r="L36" s="214">
        <f>SUM(L30:L33)</f>
        <v>0</v>
      </c>
      <c r="M36" s="214">
        <f>SUM(M30:M33)</f>
        <v>0</v>
      </c>
      <c r="N36" s="215">
        <f>SUM(N30:N33)</f>
        <v>0</v>
      </c>
      <c r="R36" s="212">
        <v>6</v>
      </c>
      <c r="S36" s="212">
        <f t="shared" si="16"/>
        <v>0</v>
      </c>
      <c r="T36" s="212">
        <f t="shared" si="19"/>
        <v>0</v>
      </c>
      <c r="U36" s="212">
        <f t="shared" si="17"/>
        <v>0</v>
      </c>
    </row>
    <row r="37" spans="3:21">
      <c r="C37" s="149" t="s">
        <v>175</v>
      </c>
      <c r="D37" s="222"/>
      <c r="E37" s="223"/>
      <c r="F37" s="224"/>
      <c r="J37" s="202" t="s">
        <v>152</v>
      </c>
      <c r="K37" s="203"/>
      <c r="L37" s="199">
        <f>2*L30+L31+L32+L33</f>
        <v>0</v>
      </c>
      <c r="M37" s="199">
        <f>2*M30+M31+M32+M33</f>
        <v>0</v>
      </c>
      <c r="N37" s="89">
        <f>2*N30+N31+N32+N33</f>
        <v>0</v>
      </c>
      <c r="R37" s="212">
        <v>7</v>
      </c>
      <c r="S37" s="212">
        <f t="shared" si="16"/>
        <v>0</v>
      </c>
      <c r="T37" s="212">
        <f t="shared" si="19"/>
        <v>0</v>
      </c>
      <c r="U37" s="212">
        <f t="shared" si="17"/>
        <v>0</v>
      </c>
    </row>
    <row r="38" spans="3:21">
      <c r="C38" s="150" t="s">
        <v>170</v>
      </c>
      <c r="D38" s="225" t="str">
        <f>IF(AND(M37&lt;3,N37&lt;3,U46=4),"erfüllt","nicht erfüllt")</f>
        <v>nicht erfüllt</v>
      </c>
      <c r="E38" s="225"/>
      <c r="F38" s="225"/>
      <c r="J38" s="151"/>
      <c r="K38" s="151"/>
      <c r="L38" s="152"/>
      <c r="R38" s="212">
        <v>8</v>
      </c>
      <c r="S38" s="212">
        <f t="shared" si="16"/>
        <v>0</v>
      </c>
      <c r="T38" s="212">
        <f t="shared" si="19"/>
        <v>0</v>
      </c>
      <c r="U38" s="212">
        <f t="shared" si="17"/>
        <v>0</v>
      </c>
    </row>
    <row r="39" spans="3:21">
      <c r="C39" s="153" t="s">
        <v>177</v>
      </c>
      <c r="D39" s="226" t="str">
        <f>IF(M37&lt;&gt;1,"",IF(D33&lt;200,"nicht erfüllt","erfüllt"))</f>
        <v/>
      </c>
      <c r="E39" s="226"/>
      <c r="F39" s="226"/>
      <c r="J39" s="155"/>
      <c r="K39" s="155"/>
      <c r="R39" s="212">
        <v>9</v>
      </c>
      <c r="S39" s="212">
        <f t="shared" si="16"/>
        <v>0</v>
      </c>
      <c r="T39" s="212">
        <f t="shared" si="19"/>
        <v>0</v>
      </c>
      <c r="U39" s="212">
        <f t="shared" si="17"/>
        <v>0</v>
      </c>
    </row>
    <row r="40" spans="3:21">
      <c r="C40" s="153" t="s">
        <v>178</v>
      </c>
      <c r="D40" s="226" t="str">
        <f>IF(M37&lt;&gt;2,"",IF(D33&lt;240,"nicht erfüllt","erfüllt"))</f>
        <v/>
      </c>
      <c r="E40" s="226"/>
      <c r="F40" s="226"/>
      <c r="J40" s="155"/>
      <c r="K40" s="155"/>
      <c r="R40" s="212">
        <v>10</v>
      </c>
      <c r="S40" s="212">
        <f t="shared" si="16"/>
        <v>0</v>
      </c>
      <c r="T40" s="212">
        <f t="shared" si="19"/>
        <v>0</v>
      </c>
      <c r="U40" s="212">
        <f t="shared" si="17"/>
        <v>0</v>
      </c>
    </row>
    <row r="41" spans="3:21">
      <c r="E41" s="156">
        <f>COUNTIF(D38:F40,"nicht erfüllt")</f>
        <v>1</v>
      </c>
      <c r="J41" s="157"/>
      <c r="K41" s="157"/>
      <c r="L41" s="152"/>
      <c r="R41" s="212">
        <v>11</v>
      </c>
      <c r="S41" s="212">
        <f t="shared" si="16"/>
        <v>0</v>
      </c>
      <c r="T41" s="212">
        <f t="shared" si="19"/>
        <v>0</v>
      </c>
      <c r="U41" s="212">
        <f t="shared" si="17"/>
        <v>0</v>
      </c>
    </row>
    <row r="42" spans="3:21">
      <c r="C42" s="227" t="s">
        <v>160</v>
      </c>
      <c r="D42" s="227"/>
      <c r="E42" s="227"/>
      <c r="F42" s="227"/>
      <c r="G42" s="227"/>
      <c r="H42" s="227"/>
      <c r="I42" s="227"/>
      <c r="J42" s="227"/>
      <c r="K42" s="227"/>
      <c r="L42" s="227"/>
      <c r="M42" s="227"/>
      <c r="N42" s="227"/>
      <c r="O42" s="227"/>
      <c r="R42" s="212">
        <v>12</v>
      </c>
      <c r="S42" s="212">
        <f t="shared" si="16"/>
        <v>0</v>
      </c>
      <c r="T42" s="212">
        <f t="shared" si="19"/>
        <v>0</v>
      </c>
      <c r="U42" s="212">
        <f t="shared" si="17"/>
        <v>0</v>
      </c>
    </row>
    <row r="43" spans="3:21">
      <c r="C43" s="194"/>
      <c r="J43" s="157"/>
      <c r="K43" s="157"/>
      <c r="L43" s="152"/>
      <c r="R43" s="212">
        <v>13</v>
      </c>
      <c r="S43" s="212">
        <f t="shared" si="16"/>
        <v>0</v>
      </c>
      <c r="T43" s="212">
        <f t="shared" si="19"/>
        <v>0</v>
      </c>
      <c r="U43" s="212">
        <f t="shared" si="17"/>
        <v>0</v>
      </c>
    </row>
    <row r="44" spans="3:21">
      <c r="C44" s="194" t="s">
        <v>186</v>
      </c>
      <c r="J44" s="157"/>
      <c r="K44" s="157"/>
      <c r="L44" s="152"/>
      <c r="R44" s="212">
        <v>14</v>
      </c>
      <c r="S44" s="212">
        <f t="shared" si="16"/>
        <v>0</v>
      </c>
      <c r="T44" s="212">
        <f t="shared" si="19"/>
        <v>0</v>
      </c>
      <c r="U44" s="212">
        <f t="shared" si="17"/>
        <v>0</v>
      </c>
    </row>
    <row r="45" spans="3:21">
      <c r="C45" s="194" t="s">
        <v>165</v>
      </c>
      <c r="J45" s="157"/>
      <c r="K45" s="157"/>
      <c r="L45" s="152"/>
      <c r="R45" s="212">
        <v>15</v>
      </c>
      <c r="S45" s="212">
        <f t="shared" si="16"/>
        <v>0</v>
      </c>
      <c r="T45" s="212">
        <f t="shared" si="19"/>
        <v>0</v>
      </c>
      <c r="U45" s="212">
        <f t="shared" si="17"/>
        <v>0</v>
      </c>
    </row>
    <row r="46" spans="3:21">
      <c r="J46" s="155"/>
      <c r="K46" s="155"/>
      <c r="R46" s="212"/>
      <c r="S46" s="158">
        <f>SUM(S30:S45)</f>
        <v>0</v>
      </c>
      <c r="T46" s="158">
        <f>SUM(T30:T45)</f>
        <v>0</v>
      </c>
      <c r="U46" s="158">
        <f>SUM(U30:U45)</f>
        <v>0</v>
      </c>
    </row>
  </sheetData>
  <sheetProtection password="CD32" sheet="1" formatRows="0" selectLockedCells="1"/>
  <scenarios current="1" show="1">
    <scenario name="FOS12 nach Prüfung" locked="1" count="4" user="Benutzer" comment="Erstellt von Benutzer am 19.11.2018">
      <inputCells r="L8" val="4"/>
      <inputCells r="L9" val="5"/>
      <inputCells r="L10" val="8"/>
      <inputCells r="L14" val="3"/>
    </scenario>
    <scenario name="FOS12 vor Prüfung" locked="1" count="4" user="Benutzer" comment="Erstellt von Benutzer am 19.11.2018">
      <inputCells r="L8" val=""/>
      <inputCells r="L9" val=""/>
      <inputCells r="L10" val=""/>
      <inputCells r="L14" val=""/>
    </scenario>
  </scenarios>
  <mergeCells count="24">
    <mergeCell ref="D5:K5"/>
    <mergeCell ref="C2:D2"/>
    <mergeCell ref="I2:O2"/>
    <mergeCell ref="J3:N3"/>
    <mergeCell ref="D4:F4"/>
    <mergeCell ref="H4:O4"/>
    <mergeCell ref="J36:K36"/>
    <mergeCell ref="H25:K25"/>
    <mergeCell ref="D27:K27"/>
    <mergeCell ref="D28:K28"/>
    <mergeCell ref="D29:E29"/>
    <mergeCell ref="F29:G29"/>
    <mergeCell ref="D30:E30"/>
    <mergeCell ref="F30:G30"/>
    <mergeCell ref="D31:E31"/>
    <mergeCell ref="D32:E32"/>
    <mergeCell ref="D33:E33"/>
    <mergeCell ref="D34:E34"/>
    <mergeCell ref="D35:F35"/>
    <mergeCell ref="D37:F37"/>
    <mergeCell ref="D38:F38"/>
    <mergeCell ref="D39:F39"/>
    <mergeCell ref="D40:F40"/>
    <mergeCell ref="C42:O42"/>
  </mergeCells>
  <conditionalFormatting sqref="T2:T4">
    <cfRule type="cellIs" dxfId="267" priority="54" operator="greaterThan">
      <formula>1</formula>
    </cfRule>
  </conditionalFormatting>
  <conditionalFormatting sqref="H30">
    <cfRule type="cellIs" dxfId="266" priority="52" operator="notEqual">
      <formula>25</formula>
    </cfRule>
    <cfRule type="cellIs" dxfId="265" priority="53" operator="equal">
      <formula>25</formula>
    </cfRule>
  </conditionalFormatting>
  <conditionalFormatting sqref="D27">
    <cfRule type="expression" dxfId="264" priority="51">
      <formula>R5&gt;1</formula>
    </cfRule>
  </conditionalFormatting>
  <conditionalFormatting sqref="D35:F35">
    <cfRule type="containsText" dxfId="263" priority="49" operator="containsText" text="nicht bestanden">
      <formula>NOT(ISERROR(SEARCH("nicht bestanden",D35)))</formula>
    </cfRule>
    <cfRule type="containsText" dxfId="262" priority="50" operator="containsText" text="bestanden">
      <formula>NOT(ISERROR(SEARCH("bestanden",D35)))</formula>
    </cfRule>
  </conditionalFormatting>
  <conditionalFormatting sqref="D18">
    <cfRule type="expression" dxfId="261" priority="47">
      <formula>"G5=0"</formula>
    </cfRule>
    <cfRule type="expression" dxfId="260" priority="48">
      <formula>E18=1</formula>
    </cfRule>
  </conditionalFormatting>
  <conditionalFormatting sqref="F16">
    <cfRule type="expression" dxfId="259" priority="45">
      <formula>"G5=0"</formula>
    </cfRule>
    <cfRule type="expression" dxfId="258" priority="46">
      <formula>G16=1</formula>
    </cfRule>
  </conditionalFormatting>
  <conditionalFormatting sqref="H7">
    <cfRule type="expression" dxfId="257" priority="43">
      <formula>"&lt;&gt;istzahl(Z7)"</formula>
    </cfRule>
    <cfRule type="expression" dxfId="256" priority="44">
      <formula>ISNUMBER(Z7)</formula>
    </cfRule>
  </conditionalFormatting>
  <conditionalFormatting sqref="D11">
    <cfRule type="expression" dxfId="255" priority="41">
      <formula>"&lt;&gt;istzahl(Z7)"</formula>
    </cfRule>
    <cfRule type="expression" dxfId="254" priority="42">
      <formula>ISNUMBER(V11)</formula>
    </cfRule>
  </conditionalFormatting>
  <conditionalFormatting sqref="D17">
    <cfRule type="expression" dxfId="253" priority="39">
      <formula>"&lt;&gt;istzahl(Z7)"</formula>
    </cfRule>
    <cfRule type="expression" dxfId="252" priority="40">
      <formula>ISNUMBER(V17)</formula>
    </cfRule>
  </conditionalFormatting>
  <conditionalFormatting sqref="F8:F11">
    <cfRule type="expression" dxfId="251" priority="37">
      <formula>"&lt;&gt;istzahl(Z7)"</formula>
    </cfRule>
    <cfRule type="expression" dxfId="250" priority="38">
      <formula>ISNUMBER(X8)</formula>
    </cfRule>
  </conditionalFormatting>
  <conditionalFormatting sqref="F14:F15">
    <cfRule type="expression" dxfId="249" priority="35">
      <formula>"&lt;&gt;istzahl(Z7)"</formula>
    </cfRule>
    <cfRule type="expression" dxfId="248" priority="36">
      <formula>ISNUMBER(X14)</formula>
    </cfRule>
  </conditionalFormatting>
  <conditionalFormatting sqref="F17:F19">
    <cfRule type="expression" dxfId="247" priority="33">
      <formula>"&lt;&gt;istzahl(Z7)"</formula>
    </cfRule>
    <cfRule type="expression" dxfId="246" priority="34">
      <formula>ISNUMBER(X17)</formula>
    </cfRule>
  </conditionalFormatting>
  <conditionalFormatting sqref="H8:H10">
    <cfRule type="expression" dxfId="245" priority="31">
      <formula>"&lt;&gt;istzahl(Z7)"</formula>
    </cfRule>
    <cfRule type="expression" dxfId="244" priority="32">
      <formula>ISNUMBER(Z8)</formula>
    </cfRule>
  </conditionalFormatting>
  <conditionalFormatting sqref="H12:H13">
    <cfRule type="expression" dxfId="243" priority="29">
      <formula>"&lt;&gt;istzahl(Z7)"</formula>
    </cfRule>
    <cfRule type="expression" dxfId="242" priority="30">
      <formula>ISNUMBER(Z12)</formula>
    </cfRule>
  </conditionalFormatting>
  <conditionalFormatting sqref="H14:H16">
    <cfRule type="expression" dxfId="241" priority="27">
      <formula>"&lt;&gt;istzahl(Z7)"</formula>
    </cfRule>
    <cfRule type="expression" dxfId="240" priority="28">
      <formula>ISNUMBER(Z14)</formula>
    </cfRule>
  </conditionalFormatting>
  <conditionalFormatting sqref="H18:H24">
    <cfRule type="expression" dxfId="239" priority="25">
      <formula>"&lt;&gt;istzahl(Z7)"</formula>
    </cfRule>
    <cfRule type="expression" dxfId="238" priority="26">
      <formula>ISNUMBER(Z18)</formula>
    </cfRule>
  </conditionalFormatting>
  <conditionalFormatting sqref="J7">
    <cfRule type="expression" dxfId="237" priority="23">
      <formula>"&lt;&gt;istzahl(Z7)"</formula>
    </cfRule>
    <cfRule type="expression" dxfId="236" priority="24">
      <formula>ISNUMBER(AB7)</formula>
    </cfRule>
  </conditionalFormatting>
  <conditionalFormatting sqref="J8:J10">
    <cfRule type="expression" dxfId="235" priority="21">
      <formula>"&lt;&gt;istzahl(Z7)"</formula>
    </cfRule>
    <cfRule type="expression" dxfId="234" priority="22">
      <formula>ISNUMBER(AB8)</formula>
    </cfRule>
  </conditionalFormatting>
  <conditionalFormatting sqref="J12:J13">
    <cfRule type="expression" dxfId="233" priority="19">
      <formula>"&lt;&gt;istzahl(Z7)"</formula>
    </cfRule>
    <cfRule type="expression" dxfId="232" priority="20">
      <formula>ISNUMBER(AB12)</formula>
    </cfRule>
  </conditionalFormatting>
  <conditionalFormatting sqref="J14:J16">
    <cfRule type="expression" dxfId="231" priority="17">
      <formula>"&lt;&gt;istzahl(Z7)"</formula>
    </cfRule>
    <cfRule type="expression" dxfId="230" priority="18">
      <formula>ISNUMBER(AB14)</formula>
    </cfRule>
  </conditionalFormatting>
  <conditionalFormatting sqref="J18:J24">
    <cfRule type="expression" dxfId="229" priority="15">
      <formula>"&lt;&gt;istzahl(Z7)"</formula>
    </cfRule>
    <cfRule type="expression" dxfId="228" priority="16">
      <formula>ISNUMBER(AB18)</formula>
    </cfRule>
  </conditionalFormatting>
  <conditionalFormatting sqref="L8">
    <cfRule type="expression" dxfId="227" priority="14">
      <formula>ISNUMBER(L8)</formula>
    </cfRule>
  </conditionalFormatting>
  <conditionalFormatting sqref="L9:L10">
    <cfRule type="expression" dxfId="226" priority="13">
      <formula>ISNUMBER(L9)</formula>
    </cfRule>
  </conditionalFormatting>
  <conditionalFormatting sqref="M8:M10">
    <cfRule type="expression" dxfId="225" priority="12">
      <formula>ISNUMBER(M8)</formula>
    </cfRule>
  </conditionalFormatting>
  <conditionalFormatting sqref="L14">
    <cfRule type="expression" dxfId="224" priority="11">
      <formula>ISNUMBER(L14)</formula>
    </cfRule>
  </conditionalFormatting>
  <conditionalFormatting sqref="M14">
    <cfRule type="expression" dxfId="223" priority="10">
      <formula>ISNUMBER(M14)</formula>
    </cfRule>
  </conditionalFormatting>
  <conditionalFormatting sqref="D26">
    <cfRule type="expression" dxfId="222" priority="9">
      <formula>ISNUMBER(D26)</formula>
    </cfRule>
  </conditionalFormatting>
  <conditionalFormatting sqref="F26">
    <cfRule type="expression" dxfId="221" priority="8">
      <formula>ISNUMBER(F26)</formula>
    </cfRule>
  </conditionalFormatting>
  <conditionalFormatting sqref="H25:K25">
    <cfRule type="expression" dxfId="220" priority="7">
      <formula>ISNUMBER(H25)</formula>
    </cfRule>
  </conditionalFormatting>
  <conditionalFormatting sqref="H29">
    <cfRule type="expression" dxfId="219" priority="5">
      <formula>$H$29&lt;&gt;4</formula>
    </cfRule>
    <cfRule type="expression" dxfId="218" priority="6">
      <formula>$H$29=4</formula>
    </cfRule>
  </conditionalFormatting>
  <conditionalFormatting sqref="O23">
    <cfRule type="expression" dxfId="217" priority="4">
      <formula>$A$23=0</formula>
    </cfRule>
  </conditionalFormatting>
  <conditionalFormatting sqref="O22">
    <cfRule type="expression" dxfId="216" priority="3">
      <formula>$A$22=0</formula>
    </cfRule>
  </conditionalFormatting>
  <conditionalFormatting sqref="O24">
    <cfRule type="expression" dxfId="215" priority="2">
      <formula>$A$24=0</formula>
    </cfRule>
  </conditionalFormatting>
  <conditionalFormatting sqref="D28:K28">
    <cfRule type="containsText" dxfId="214" priority="1" operator="containsText" text="Zur Prüfung nicht zugelassen">
      <formula>NOT(ISERROR(SEARCH("Zur Prüfung nicht zugelassen",D28)))</formula>
    </cfRule>
  </conditionalFormatting>
  <dataValidations count="2">
    <dataValidation type="whole" allowBlank="1" showInputMessage="1" showErrorMessage="1" sqref="J7:J10 F26 L14:M14 D11 F14:F16 D18 H19:H25 F18:F20 D26 F8:F11 L8:M10 H7:H10 H12:H16 J12:J16 J19:J24">
      <formula1>0</formula1>
      <formula2>15</formula2>
    </dataValidation>
    <dataValidation type="whole" allowBlank="1" showInputMessage="1" showErrorMessage="1" sqref="K26">
      <formula1>0</formula1>
      <formula2>1</formula2>
    </dataValidation>
  </dataValidations>
  <pageMargins left="0.70866141732283472" right="0.70866141732283472" top="1.3779527559055118" bottom="0.78740157480314965" header="0.31496062992125984" footer="0.31496062992125984"/>
  <pageSetup paperSize="9" scale="97" orientation="portrait" r:id="rId1"/>
  <headerFooter>
    <oddHeader>&amp;L&amp;G&amp;R&amp;G</oddHeader>
  </headerFooter>
  <drawing r:id="rId2"/>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Hinweise!$C$6:$C$37</xm:f>
          </x14:formula1>
          <xm:sqref>C22:C24</xm:sqref>
        </x14:dataValidation>
        <x14:dataValidation type="list" allowBlank="1" showInputMessage="1" showErrorMessage="1">
          <x14:formula1>
            <xm:f>Hinweise!$G$4:$G$10</xm:f>
          </x14:formula1>
          <xm:sqref>D4</xm:sqref>
        </x14:dataValidation>
        <x14:dataValidation type="list" allowBlank="1" showInputMessage="1" showErrorMessage="1">
          <x14:formula1>
            <xm:f>Hinweise!$K$18:$K$19</xm:f>
          </x14:formula1>
          <xm:sqref>I7:I24 E7:E24 G7:G24 K7:K24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2:AI46"/>
  <sheetViews>
    <sheetView topLeftCell="B1" zoomScaleNormal="100" workbookViewId="0">
      <selection activeCell="C23" sqref="C23"/>
    </sheetView>
  </sheetViews>
  <sheetFormatPr baseColWidth="10" defaultRowHeight="15.75"/>
  <cols>
    <col min="1" max="1" width="5.625" style="93" hidden="1" customWidth="1"/>
    <col min="2" max="2" width="3.5" style="93" customWidth="1"/>
    <col min="3" max="3" width="27.25" style="93" customWidth="1"/>
    <col min="4" max="4" width="5.75" style="93" customWidth="1"/>
    <col min="5" max="5" width="3.625" style="93" bestFit="1" customWidth="1"/>
    <col min="6" max="6" width="5.75" style="93" customWidth="1"/>
    <col min="7" max="7" width="3.625" style="93" bestFit="1" customWidth="1"/>
    <col min="8" max="8" width="5.75" style="93" customWidth="1"/>
    <col min="9" max="9" width="3.625" style="93" bestFit="1" customWidth="1"/>
    <col min="10" max="10" width="5.75" style="93" customWidth="1"/>
    <col min="11" max="11" width="3.625" style="93" bestFit="1" customWidth="1"/>
    <col min="12" max="14" width="4" style="93" customWidth="1"/>
    <col min="15" max="15" width="5.375" style="93" customWidth="1"/>
    <col min="16" max="17" width="5.375" style="93" hidden="1" customWidth="1"/>
    <col min="18" max="19" width="8.25" style="94" hidden="1" customWidth="1"/>
    <col min="20" max="21" width="11" style="94" hidden="1" customWidth="1"/>
    <col min="22" max="22" width="4.625" style="94" hidden="1" customWidth="1"/>
    <col min="23" max="23" width="9.25" style="94" hidden="1" customWidth="1"/>
    <col min="24" max="24" width="4.625" style="94" hidden="1" customWidth="1"/>
    <col min="25" max="25" width="9.25" style="94" hidden="1" customWidth="1"/>
    <col min="26" max="26" width="4.625" style="94" hidden="1" customWidth="1"/>
    <col min="27" max="27" width="9.25" style="94" hidden="1" customWidth="1"/>
    <col min="28" max="28" width="4.625" style="94" hidden="1" customWidth="1"/>
    <col min="29" max="29" width="9.25" style="94" hidden="1" customWidth="1"/>
    <col min="30" max="31" width="9" style="95" hidden="1" customWidth="1"/>
    <col min="32" max="32" width="7.5" style="93" hidden="1" customWidth="1"/>
    <col min="33" max="33" width="9.5" style="93" hidden="1" customWidth="1"/>
    <col min="34" max="34" width="9.875" style="94" bestFit="1" customWidth="1"/>
    <col min="35" max="35" width="9.5" style="94" bestFit="1" customWidth="1"/>
    <col min="36" max="16384" width="11" style="93"/>
  </cols>
  <sheetData>
    <row r="2" spans="1:35" ht="21">
      <c r="C2" s="240" t="s">
        <v>162</v>
      </c>
      <c r="D2" s="240"/>
      <c r="H2" s="93" t="s">
        <v>113</v>
      </c>
      <c r="I2" s="241"/>
      <c r="J2" s="241"/>
      <c r="K2" s="241"/>
      <c r="L2" s="241"/>
      <c r="M2" s="241"/>
      <c r="N2" s="241"/>
      <c r="O2" s="241"/>
    </row>
    <row r="3" spans="1:35" ht="15.75" customHeight="1">
      <c r="C3" s="96"/>
      <c r="D3" s="96"/>
      <c r="J3" s="242">
        <f ca="1">NOW()</f>
        <v>43522.649079166666</v>
      </c>
      <c r="K3" s="242"/>
      <c r="L3" s="242"/>
      <c r="M3" s="242"/>
      <c r="N3" s="242"/>
    </row>
    <row r="4" spans="1:35" ht="15.75" customHeight="1">
      <c r="C4" s="97" t="s">
        <v>161</v>
      </c>
      <c r="D4" s="243" t="s">
        <v>117</v>
      </c>
      <c r="E4" s="244"/>
      <c r="F4" s="245"/>
      <c r="G4" s="98"/>
      <c r="H4" s="246" t="s">
        <v>160</v>
      </c>
      <c r="I4" s="247"/>
      <c r="J4" s="247"/>
      <c r="K4" s="247"/>
      <c r="L4" s="247"/>
      <c r="M4" s="247"/>
      <c r="N4" s="247"/>
      <c r="O4" s="247"/>
    </row>
    <row r="5" spans="1:35">
      <c r="D5" s="239" t="s">
        <v>166</v>
      </c>
      <c r="E5" s="239"/>
      <c r="F5" s="239"/>
      <c r="G5" s="239"/>
      <c r="H5" s="239"/>
      <c r="I5" s="239"/>
      <c r="J5" s="239"/>
      <c r="K5" s="239"/>
      <c r="R5" s="94">
        <f>MAX(R7:R24)</f>
        <v>0</v>
      </c>
      <c r="AE5" s="209">
        <f>SUM(AE7:AE25)</f>
        <v>0</v>
      </c>
    </row>
    <row r="6" spans="1:35">
      <c r="A6" s="93" t="s">
        <v>115</v>
      </c>
      <c r="C6" s="99"/>
      <c r="D6" s="159"/>
      <c r="E6" s="160"/>
      <c r="F6" s="159"/>
      <c r="G6" s="160"/>
      <c r="H6" s="100" t="s">
        <v>2</v>
      </c>
      <c r="I6" s="101" t="s">
        <v>136</v>
      </c>
      <c r="J6" s="100" t="s">
        <v>3</v>
      </c>
      <c r="K6" s="101" t="s">
        <v>136</v>
      </c>
      <c r="L6" s="100" t="s">
        <v>19</v>
      </c>
      <c r="M6" s="102" t="s">
        <v>20</v>
      </c>
      <c r="N6" s="103" t="s">
        <v>169</v>
      </c>
      <c r="O6" s="104" t="s">
        <v>153</v>
      </c>
      <c r="P6" s="105"/>
      <c r="Q6" s="106" t="s">
        <v>154</v>
      </c>
      <c r="R6" s="105" t="s">
        <v>148</v>
      </c>
      <c r="S6" s="105" t="s">
        <v>153</v>
      </c>
      <c r="T6" s="105"/>
      <c r="V6" s="107" t="s">
        <v>0</v>
      </c>
      <c r="W6" s="108" t="s">
        <v>109</v>
      </c>
      <c r="X6" s="107" t="s">
        <v>1</v>
      </c>
      <c r="Y6" s="108" t="s">
        <v>110</v>
      </c>
      <c r="Z6" s="107" t="s">
        <v>2</v>
      </c>
      <c r="AA6" s="108" t="s">
        <v>111</v>
      </c>
      <c r="AB6" s="107" t="s">
        <v>3</v>
      </c>
      <c r="AC6" s="108" t="s">
        <v>112</v>
      </c>
      <c r="AD6" s="109" t="s">
        <v>147</v>
      </c>
      <c r="AE6" s="206" t="s">
        <v>185</v>
      </c>
    </row>
    <row r="7" spans="1:35">
      <c r="A7" s="94">
        <v>1</v>
      </c>
      <c r="B7" s="94"/>
      <c r="C7" s="110" t="s">
        <v>4</v>
      </c>
      <c r="D7" s="60"/>
      <c r="E7" s="111"/>
      <c r="F7" s="61"/>
      <c r="G7" s="112"/>
      <c r="H7" s="39"/>
      <c r="I7" s="12"/>
      <c r="J7" s="13"/>
      <c r="K7" s="23"/>
      <c r="L7" s="21"/>
      <c r="M7" s="22"/>
      <c r="N7" s="45"/>
      <c r="O7" s="42" t="str">
        <f>IF(AND(ISERROR(S7),ISERROR(T7)),"",IF(ISNUMBER(S7),ROUND(S7,0),ROUND(T7,0)))</f>
        <v/>
      </c>
      <c r="P7" s="1"/>
      <c r="Q7" s="1" t="str">
        <f t="shared" ref="Q7:Q25" si="0">IF(A7=1,O7,"")</f>
        <v/>
      </c>
      <c r="R7" s="94">
        <f>COUNTIF(D7:K7,"x")</f>
        <v>0</v>
      </c>
      <c r="S7" s="93" t="e">
        <f>IF(AVERAGE(V7:AB7)&lt;1,0,AVERAGE(V7:AB7))</f>
        <v>#DIV/0!</v>
      </c>
      <c r="T7" s="94" t="e">
        <f>IF(AVERAGE(D7:J7)&lt;1,0,AVERAGE(D7:J7))</f>
        <v>#DIV/0!</v>
      </c>
      <c r="V7" s="154" t="str">
        <f t="shared" ref="V7:V23" si="1">IF(AND(ISNUMBER(D7),E7="",$A7=1),D7,"")</f>
        <v/>
      </c>
      <c r="W7" s="154"/>
      <c r="X7" s="154" t="str">
        <f t="shared" ref="X7:X23" si="2">IF(AND(ISNUMBER(F7),G7="",$A7=1),F7,"")</f>
        <v/>
      </c>
      <c r="Y7" s="154"/>
      <c r="Z7" s="154" t="str">
        <f t="shared" ref="Z7:Z23" si="3">IF(AND(ISNUMBER(H7),I7="",$A7=1),H7,"")</f>
        <v/>
      </c>
      <c r="AA7" s="154"/>
      <c r="AB7" s="154" t="str">
        <f t="shared" ref="AB7:AB23" si="4">IF(AND(ISNUMBER(J7),K7="",$A7=1),J7,"")</f>
        <v/>
      </c>
      <c r="AC7" s="154"/>
      <c r="AD7" s="113">
        <f>COUNT(V7:AB7)</f>
        <v>0</v>
      </c>
      <c r="AE7" s="113" t="str">
        <f>IF(Q7="","",IF(Q7&lt;4,IF(Q7=0,2,1),""))</f>
        <v/>
      </c>
    </row>
    <row r="8" spans="1:35">
      <c r="A8" s="94">
        <v>1</v>
      </c>
      <c r="B8" s="94"/>
      <c r="C8" s="114" t="s">
        <v>5</v>
      </c>
      <c r="D8" s="4"/>
      <c r="E8" s="115"/>
      <c r="F8" s="161"/>
      <c r="G8" s="115"/>
      <c r="H8" s="33"/>
      <c r="I8" s="7"/>
      <c r="J8" s="8"/>
      <c r="K8" s="7"/>
      <c r="L8" s="9"/>
      <c r="M8" s="5"/>
      <c r="N8" s="116" t="str">
        <f>IF(ISBLANK(L8),"",IF(ISBLANK(M8),L8,IF((L8*2+M8)/3&lt;1,0,ROUND((L8*2+M8)/3,0))))</f>
        <v/>
      </c>
      <c r="O8" s="43" t="str">
        <f>IF(ISBLANK(L8),"",IF(AND(ISERROR(S8),ISERROR(T8)),"",IF(ISNUMBER(S8),ROUND(S8,0),ROUND(T8,0))))</f>
        <v/>
      </c>
      <c r="P8" s="1"/>
      <c r="Q8" s="1" t="str">
        <f t="shared" si="0"/>
        <v/>
      </c>
      <c r="R8" s="94">
        <f t="shared" ref="R8:R23" si="5">COUNTIF(D8:K8,"x")</f>
        <v>0</v>
      </c>
      <c r="S8" s="117" t="e">
        <f>IF((2*N8+SUM(V8:AB8))/(AD8+2)&lt;1,0,(2*N8+SUM(V8:AB8))/(AD8+2))</f>
        <v>#VALUE!</v>
      </c>
      <c r="T8" s="94" t="e">
        <f t="shared" ref="T8:T14" si="6">AVERAGE(D8:J8)</f>
        <v>#DIV/0!</v>
      </c>
      <c r="V8" s="154" t="str">
        <f t="shared" si="1"/>
        <v/>
      </c>
      <c r="W8" s="154"/>
      <c r="X8" s="154" t="str">
        <f t="shared" si="2"/>
        <v/>
      </c>
      <c r="Y8" s="154"/>
      <c r="Z8" s="154" t="str">
        <f t="shared" si="3"/>
        <v/>
      </c>
      <c r="AA8" s="154"/>
      <c r="AB8" s="154" t="str">
        <f t="shared" si="4"/>
        <v/>
      </c>
      <c r="AC8" s="154"/>
      <c r="AD8" s="113">
        <f t="shared" ref="AD8:AD23" si="7">COUNT(V8:AB8)</f>
        <v>0</v>
      </c>
      <c r="AE8" s="113"/>
    </row>
    <row r="9" spans="1:35">
      <c r="A9" s="94">
        <v>1</v>
      </c>
      <c r="B9" s="94"/>
      <c r="C9" s="114" t="s">
        <v>6</v>
      </c>
      <c r="D9" s="4"/>
      <c r="E9" s="115"/>
      <c r="F9" s="161"/>
      <c r="G9" s="115"/>
      <c r="H9" s="33"/>
      <c r="I9" s="7"/>
      <c r="J9" s="8"/>
      <c r="K9" s="7"/>
      <c r="L9" s="9"/>
      <c r="M9" s="5"/>
      <c r="N9" s="116" t="str">
        <f>IF(ISBLANK(L9),"",IF(ISBLANK(M9),L9,IF((L9*2+M9)/3&lt;1,0,ROUND((L9*2+M9)/3,0))))</f>
        <v/>
      </c>
      <c r="O9" s="43" t="str">
        <f t="shared" ref="O9:O10" si="8">IF(ISBLANK(L9),"",IF(AND(ISERROR(S9),ISERROR(T9)),"",IF(ISNUMBER(S9),ROUND(S9,0),ROUND(T9,0))))</f>
        <v/>
      </c>
      <c r="P9" s="1"/>
      <c r="Q9" s="1" t="str">
        <f t="shared" si="0"/>
        <v/>
      </c>
      <c r="R9" s="94">
        <f t="shared" si="5"/>
        <v>0</v>
      </c>
      <c r="S9" s="117" t="e">
        <f t="shared" ref="S9:S10" si="9">IF((2*N9+SUM(V9:AB9))/(AD9+2)&lt;1,0,(2*N9+SUM(V9:AB9))/(AD9+2))</f>
        <v>#VALUE!</v>
      </c>
      <c r="T9" s="94" t="e">
        <f t="shared" si="6"/>
        <v>#DIV/0!</v>
      </c>
      <c r="V9" s="154" t="str">
        <f t="shared" si="1"/>
        <v/>
      </c>
      <c r="W9" s="154"/>
      <c r="X9" s="154" t="str">
        <f t="shared" si="2"/>
        <v/>
      </c>
      <c r="Y9" s="154"/>
      <c r="Z9" s="154" t="str">
        <f t="shared" si="3"/>
        <v/>
      </c>
      <c r="AA9" s="154"/>
      <c r="AB9" s="154" t="str">
        <f t="shared" si="4"/>
        <v/>
      </c>
      <c r="AC9" s="154"/>
      <c r="AD9" s="113">
        <f t="shared" si="7"/>
        <v>0</v>
      </c>
      <c r="AE9" s="113"/>
    </row>
    <row r="10" spans="1:35">
      <c r="A10" s="94">
        <v>1</v>
      </c>
      <c r="B10" s="94"/>
      <c r="C10" s="114" t="s">
        <v>9</v>
      </c>
      <c r="D10" s="4"/>
      <c r="E10" s="115"/>
      <c r="F10" s="161"/>
      <c r="G10" s="115"/>
      <c r="H10" s="33"/>
      <c r="I10" s="7"/>
      <c r="J10" s="8"/>
      <c r="K10" s="7"/>
      <c r="L10" s="9"/>
      <c r="M10" s="5"/>
      <c r="N10" s="116" t="str">
        <f>IF(ISBLANK(L10),"",IF(ISBLANK(M10),L10,IF((L10*2+M10)/3&lt;1,0,ROUND((L10*2+M10)/3,0))))</f>
        <v/>
      </c>
      <c r="O10" s="43" t="str">
        <f t="shared" si="8"/>
        <v/>
      </c>
      <c r="P10" s="1"/>
      <c r="Q10" s="1" t="str">
        <f t="shared" si="0"/>
        <v/>
      </c>
      <c r="R10" s="94">
        <f t="shared" si="5"/>
        <v>0</v>
      </c>
      <c r="S10" s="117" t="e">
        <f t="shared" si="9"/>
        <v>#VALUE!</v>
      </c>
      <c r="T10" s="94" t="e">
        <f t="shared" si="6"/>
        <v>#DIV/0!</v>
      </c>
      <c r="V10" s="154" t="str">
        <f t="shared" si="1"/>
        <v/>
      </c>
      <c r="W10" s="154"/>
      <c r="X10" s="154" t="str">
        <f t="shared" si="2"/>
        <v/>
      </c>
      <c r="Y10" s="154"/>
      <c r="Z10" s="154" t="str">
        <f t="shared" si="3"/>
        <v/>
      </c>
      <c r="AA10" s="154"/>
      <c r="AB10" s="154" t="str">
        <f t="shared" si="4"/>
        <v/>
      </c>
      <c r="AC10" s="154"/>
      <c r="AD10" s="113">
        <f t="shared" si="7"/>
        <v>0</v>
      </c>
      <c r="AE10" s="113"/>
    </row>
    <row r="11" spans="1:35" hidden="1">
      <c r="A11" s="162"/>
      <c r="B11" s="162"/>
      <c r="C11" s="163"/>
      <c r="D11" s="164"/>
      <c r="E11" s="115"/>
      <c r="F11" s="161"/>
      <c r="G11" s="115"/>
      <c r="H11" s="179"/>
      <c r="I11" s="7"/>
      <c r="J11" s="180"/>
      <c r="K11" s="7"/>
      <c r="L11" s="69"/>
      <c r="M11" s="70"/>
      <c r="N11" s="118"/>
      <c r="O11" s="71"/>
      <c r="P11" s="1"/>
      <c r="Q11" s="1"/>
      <c r="R11" s="162"/>
      <c r="S11" s="165"/>
      <c r="T11" s="162"/>
      <c r="U11" s="162"/>
      <c r="V11" s="166"/>
      <c r="W11" s="166"/>
      <c r="X11" s="166"/>
      <c r="Y11" s="166"/>
      <c r="Z11" s="166"/>
      <c r="AA11" s="166"/>
      <c r="AB11" s="166"/>
      <c r="AC11" s="166"/>
      <c r="AD11" s="167"/>
      <c r="AE11" s="113"/>
      <c r="AF11" s="165"/>
    </row>
    <row r="12" spans="1:35">
      <c r="A12" s="94">
        <v>1</v>
      </c>
      <c r="B12" s="94"/>
      <c r="C12" s="119" t="s">
        <v>163</v>
      </c>
      <c r="D12" s="64"/>
      <c r="E12" s="120"/>
      <c r="F12" s="65"/>
      <c r="G12" s="120"/>
      <c r="H12" s="40"/>
      <c r="I12" s="16"/>
      <c r="J12" s="18"/>
      <c r="K12" s="16"/>
      <c r="L12" s="19"/>
      <c r="M12" s="20"/>
      <c r="N12" s="121"/>
      <c r="O12" s="44" t="str">
        <f t="shared" ref="O12:O23" si="10">IF(AND(ISERROR(S12),ISERROR(T12)),"",IF(ISNUMBER(S12),ROUND(S12,0),ROUND(T12,0)))</f>
        <v/>
      </c>
      <c r="P12" s="1"/>
      <c r="Q12" s="1" t="str">
        <f t="shared" si="0"/>
        <v/>
      </c>
      <c r="R12" s="94">
        <f t="shared" si="5"/>
        <v>0</v>
      </c>
      <c r="S12" s="93" t="e">
        <f>IF(AVERAGE(V12:AB12)&lt;1,0,AVERAGE(V12:AB12))</f>
        <v>#DIV/0!</v>
      </c>
      <c r="T12" s="94" t="e">
        <f>IF(AVERAGE(D12:J12)&lt;1,0,AVERAGE(D12:J12))</f>
        <v>#DIV/0!</v>
      </c>
      <c r="V12" s="154" t="str">
        <f t="shared" si="1"/>
        <v/>
      </c>
      <c r="W12" s="154"/>
      <c r="X12" s="154" t="str">
        <f t="shared" si="2"/>
        <v/>
      </c>
      <c r="Y12" s="154"/>
      <c r="Z12" s="154" t="str">
        <f t="shared" si="3"/>
        <v/>
      </c>
      <c r="AA12" s="154"/>
      <c r="AB12" s="154" t="str">
        <f t="shared" si="4"/>
        <v/>
      </c>
      <c r="AC12" s="154"/>
      <c r="AD12" s="113">
        <f t="shared" si="7"/>
        <v>0</v>
      </c>
      <c r="AE12" s="113" t="str">
        <f t="shared" ref="AE12:AE25" si="11">IF(Q12="","",IF(Q12&lt;4,IF(Q12=0,2,1),""))</f>
        <v/>
      </c>
    </row>
    <row r="13" spans="1:35" s="165" customFormat="1" hidden="1">
      <c r="A13" s="162"/>
      <c r="B13" s="162"/>
      <c r="C13" s="168"/>
      <c r="D13" s="77"/>
      <c r="E13" s="169"/>
      <c r="F13" s="79"/>
      <c r="G13" s="169"/>
      <c r="H13" s="91"/>
      <c r="I13" s="90"/>
      <c r="J13" s="92"/>
      <c r="K13" s="90"/>
      <c r="L13" s="80"/>
      <c r="M13" s="81"/>
      <c r="N13" s="170"/>
      <c r="O13" s="83"/>
      <c r="P13" s="1"/>
      <c r="Q13" s="1"/>
      <c r="R13" s="162"/>
      <c r="T13" s="162"/>
      <c r="U13" s="162"/>
      <c r="V13" s="166"/>
      <c r="W13" s="166"/>
      <c r="X13" s="166"/>
      <c r="Y13" s="166"/>
      <c r="Z13" s="166"/>
      <c r="AA13" s="166"/>
      <c r="AB13" s="166"/>
      <c r="AC13" s="166"/>
      <c r="AD13" s="167"/>
      <c r="AE13" s="113"/>
      <c r="AH13" s="162"/>
      <c r="AI13" s="162"/>
    </row>
    <row r="14" spans="1:35">
      <c r="A14" s="94">
        <f>IF(C14="-",0,1)</f>
        <v>1</v>
      </c>
      <c r="B14" s="94"/>
      <c r="C14" s="122" t="str">
        <f>VLOOKUP($D$4,Hinweise!$G$14:$N$20,3,FALSE)</f>
        <v>Physik</v>
      </c>
      <c r="D14" s="60"/>
      <c r="E14" s="111"/>
      <c r="F14" s="171"/>
      <c r="G14" s="111"/>
      <c r="H14" s="39"/>
      <c r="I14" s="12"/>
      <c r="J14" s="13"/>
      <c r="K14" s="12"/>
      <c r="L14" s="14"/>
      <c r="M14" s="15"/>
      <c r="N14" s="123" t="str">
        <f>IF(ISBLANK(L14),"",IF(ISBLANK(M14),L14,IF((L14*2+M14)/3&lt;1,0,ROUND((L14*2+M14)/3,0))))</f>
        <v/>
      </c>
      <c r="O14" s="42" t="str">
        <f>IF(ISBLANK(L14),"",IF(AND(ISERROR(S14),ISERROR(T14)),"",IF(ISNUMBER(S14),ROUND(S14,0),ROUND(T14,0))))</f>
        <v/>
      </c>
      <c r="P14" s="1"/>
      <c r="Q14" s="1" t="str">
        <f t="shared" si="0"/>
        <v/>
      </c>
      <c r="R14" s="94">
        <f t="shared" si="5"/>
        <v>0</v>
      </c>
      <c r="S14" s="117" t="e">
        <f t="shared" ref="S14" si="12">IF((2*N14+SUM(V14:AB14))/(AD14+2)&lt;1,0,(2*N14+SUM(V14:AB14))/(AD14+2))</f>
        <v>#VALUE!</v>
      </c>
      <c r="T14" s="94" t="e">
        <f t="shared" si="6"/>
        <v>#DIV/0!</v>
      </c>
      <c r="V14" s="154" t="str">
        <f t="shared" si="1"/>
        <v/>
      </c>
      <c r="W14" s="154"/>
      <c r="X14" s="154" t="str">
        <f t="shared" si="2"/>
        <v/>
      </c>
      <c r="Y14" s="154"/>
      <c r="Z14" s="154" t="str">
        <f t="shared" si="3"/>
        <v/>
      </c>
      <c r="AA14" s="154"/>
      <c r="AB14" s="154" t="str">
        <f t="shared" si="4"/>
        <v/>
      </c>
      <c r="AC14" s="154"/>
      <c r="AD14" s="113">
        <f t="shared" si="7"/>
        <v>0</v>
      </c>
      <c r="AE14" s="113"/>
    </row>
    <row r="15" spans="1:35">
      <c r="A15" s="94">
        <f t="shared" ref="A15:A21" si="13">IF(C15="-",0,1)</f>
        <v>1</v>
      </c>
      <c r="B15" s="94"/>
      <c r="C15" s="122" t="str">
        <f>VLOOKUP($D$4,Hinweise!$G$14:$N$20,4,FALSE)</f>
        <v>Technologie</v>
      </c>
      <c r="D15" s="4"/>
      <c r="E15" s="115"/>
      <c r="F15" s="161"/>
      <c r="G15" s="115"/>
      <c r="H15" s="33"/>
      <c r="I15" s="7"/>
      <c r="J15" s="8"/>
      <c r="K15" s="7"/>
      <c r="L15" s="10"/>
      <c r="M15" s="6"/>
      <c r="N15" s="46"/>
      <c r="O15" s="43" t="str">
        <f t="shared" si="10"/>
        <v/>
      </c>
      <c r="P15" s="1"/>
      <c r="Q15" s="1" t="str">
        <f t="shared" si="0"/>
        <v/>
      </c>
      <c r="R15" s="94">
        <f t="shared" si="5"/>
        <v>0</v>
      </c>
      <c r="S15" s="93" t="e">
        <f>IF(AVERAGE(V15:AB15)&lt;1,0,AVERAGE(V15:AB15))</f>
        <v>#DIV/0!</v>
      </c>
      <c r="T15" s="94" t="e">
        <f>IF(AVERAGE(D15:J15)&lt;1,0,AVERAGE(D15:J15))</f>
        <v>#DIV/0!</v>
      </c>
      <c r="V15" s="154" t="str">
        <f t="shared" si="1"/>
        <v/>
      </c>
      <c r="W15" s="154"/>
      <c r="X15" s="154" t="str">
        <f t="shared" si="2"/>
        <v/>
      </c>
      <c r="Y15" s="154"/>
      <c r="Z15" s="154" t="str">
        <f t="shared" si="3"/>
        <v/>
      </c>
      <c r="AA15" s="154"/>
      <c r="AB15" s="154" t="str">
        <f t="shared" si="4"/>
        <v/>
      </c>
      <c r="AC15" s="154"/>
      <c r="AD15" s="113">
        <f t="shared" si="7"/>
        <v>0</v>
      </c>
      <c r="AE15" s="113" t="str">
        <f t="shared" si="11"/>
        <v/>
      </c>
    </row>
    <row r="16" spans="1:35" hidden="1">
      <c r="A16" s="94"/>
      <c r="B16" s="94"/>
      <c r="C16" s="124"/>
      <c r="D16" s="4"/>
      <c r="E16" s="115"/>
      <c r="F16" s="125"/>
      <c r="G16" s="115"/>
      <c r="H16" s="63"/>
      <c r="I16" s="7"/>
      <c r="J16" s="62"/>
      <c r="K16" s="7"/>
      <c r="L16" s="10"/>
      <c r="M16" s="6"/>
      <c r="N16" s="46"/>
      <c r="O16" s="43"/>
      <c r="P16" s="1"/>
      <c r="Q16" s="1"/>
      <c r="S16" s="93"/>
      <c r="V16" s="154"/>
      <c r="W16" s="154"/>
      <c r="X16" s="154"/>
      <c r="Y16" s="154"/>
      <c r="Z16" s="154"/>
      <c r="AA16" s="154"/>
      <c r="AB16" s="154"/>
      <c r="AC16" s="154"/>
      <c r="AD16" s="113"/>
      <c r="AE16" s="113" t="str">
        <f t="shared" si="11"/>
        <v/>
      </c>
    </row>
    <row r="17" spans="1:33" hidden="1">
      <c r="A17" s="94"/>
      <c r="B17" s="94"/>
      <c r="C17" s="124"/>
      <c r="D17" s="164"/>
      <c r="E17" s="115"/>
      <c r="F17" s="161"/>
      <c r="G17" s="115"/>
      <c r="H17" s="179"/>
      <c r="I17" s="7"/>
      <c r="J17" s="180"/>
      <c r="K17" s="7"/>
      <c r="L17" s="10"/>
      <c r="M17" s="6"/>
      <c r="N17" s="46"/>
      <c r="O17" s="43"/>
      <c r="P17" s="1"/>
      <c r="Q17" s="1"/>
      <c r="S17" s="93"/>
      <c r="V17" s="154"/>
      <c r="W17" s="154"/>
      <c r="X17" s="154"/>
      <c r="Y17" s="154"/>
      <c r="Z17" s="154"/>
      <c r="AA17" s="154"/>
      <c r="AB17" s="154"/>
      <c r="AC17" s="154"/>
      <c r="AD17" s="113"/>
      <c r="AE17" s="113" t="str">
        <f t="shared" si="11"/>
        <v/>
      </c>
    </row>
    <row r="18" spans="1:33" hidden="1">
      <c r="A18" s="94"/>
      <c r="B18" s="94"/>
      <c r="C18" s="124"/>
      <c r="D18" s="126"/>
      <c r="E18" s="115"/>
      <c r="F18" s="161"/>
      <c r="G18" s="115"/>
      <c r="H18" s="63"/>
      <c r="I18" s="7"/>
      <c r="J18" s="62"/>
      <c r="K18" s="7"/>
      <c r="L18" s="10"/>
      <c r="M18" s="6"/>
      <c r="N18" s="46"/>
      <c r="O18" s="43"/>
      <c r="P18" s="1"/>
      <c r="Q18" s="1"/>
      <c r="S18" s="93"/>
      <c r="V18" s="154"/>
      <c r="W18" s="154"/>
      <c r="X18" s="154"/>
      <c r="Y18" s="154"/>
      <c r="Z18" s="154"/>
      <c r="AA18" s="154"/>
      <c r="AB18" s="154"/>
      <c r="AC18" s="154"/>
      <c r="AD18" s="113"/>
      <c r="AE18" s="113" t="str">
        <f t="shared" si="11"/>
        <v/>
      </c>
    </row>
    <row r="19" spans="1:33" hidden="1">
      <c r="A19" s="94"/>
      <c r="B19" s="94"/>
      <c r="C19" s="124"/>
      <c r="D19" s="4"/>
      <c r="E19" s="115"/>
      <c r="F19" s="161"/>
      <c r="G19" s="115"/>
      <c r="H19" s="63"/>
      <c r="I19" s="7"/>
      <c r="J19" s="62"/>
      <c r="K19" s="7"/>
      <c r="L19" s="10"/>
      <c r="M19" s="6"/>
      <c r="N19" s="46"/>
      <c r="O19" s="43"/>
      <c r="P19" s="1"/>
      <c r="Q19" s="1"/>
      <c r="S19" s="93"/>
      <c r="V19" s="154"/>
      <c r="W19" s="154"/>
      <c r="X19" s="154"/>
      <c r="Y19" s="154"/>
      <c r="Z19" s="154"/>
      <c r="AA19" s="154"/>
      <c r="AB19" s="154"/>
      <c r="AC19" s="154"/>
      <c r="AD19" s="113"/>
      <c r="AE19" s="113" t="str">
        <f t="shared" si="11"/>
        <v/>
      </c>
    </row>
    <row r="20" spans="1:33">
      <c r="A20" s="94">
        <f t="shared" si="13"/>
        <v>1</v>
      </c>
      <c r="B20" s="94"/>
      <c r="C20" s="122" t="str">
        <f>VLOOKUP($D$4,Hinweise!$G$14:$N$20,7,FALSE)</f>
        <v>Chemie</v>
      </c>
      <c r="D20" s="4"/>
      <c r="E20" s="115"/>
      <c r="F20" s="3"/>
      <c r="G20" s="115"/>
      <c r="H20" s="33"/>
      <c r="I20" s="7"/>
      <c r="J20" s="8"/>
      <c r="K20" s="7"/>
      <c r="L20" s="10"/>
      <c r="M20" s="6"/>
      <c r="N20" s="46"/>
      <c r="O20" s="43" t="str">
        <f t="shared" si="10"/>
        <v/>
      </c>
      <c r="P20" s="1"/>
      <c r="Q20" s="1" t="str">
        <f t="shared" si="0"/>
        <v/>
      </c>
      <c r="R20" s="94">
        <f t="shared" si="5"/>
        <v>0</v>
      </c>
      <c r="S20" s="93" t="e">
        <f>IF(AVERAGE(V20:AB20)&lt;1,0,AVERAGE(V20:AB20))</f>
        <v>#DIV/0!</v>
      </c>
      <c r="T20" s="94" t="e">
        <f>IF(AVERAGE(D20:J20)&lt;1,0,AVERAGE(D20:J20))</f>
        <v>#DIV/0!</v>
      </c>
      <c r="V20" s="154" t="str">
        <f t="shared" si="1"/>
        <v/>
      </c>
      <c r="W20" s="154"/>
      <c r="X20" s="154" t="str">
        <f t="shared" si="2"/>
        <v/>
      </c>
      <c r="Y20" s="154"/>
      <c r="Z20" s="154" t="str">
        <f t="shared" si="3"/>
        <v/>
      </c>
      <c r="AA20" s="154"/>
      <c r="AB20" s="154" t="str">
        <f t="shared" si="4"/>
        <v/>
      </c>
      <c r="AC20" s="154"/>
      <c r="AD20" s="113">
        <f t="shared" si="7"/>
        <v>0</v>
      </c>
      <c r="AE20" s="113" t="str">
        <f t="shared" si="11"/>
        <v/>
      </c>
    </row>
    <row r="21" spans="1:33">
      <c r="A21" s="94">
        <f t="shared" si="13"/>
        <v>1</v>
      </c>
      <c r="B21" s="94"/>
      <c r="C21" s="122" t="str">
        <f>VLOOKUP($D$4,Hinweise!$G$14:$N$20,8,FALSE)</f>
        <v>Mathe Additum</v>
      </c>
      <c r="D21" s="66"/>
      <c r="E21" s="128"/>
      <c r="F21" s="67"/>
      <c r="G21" s="128"/>
      <c r="H21" s="50"/>
      <c r="I21" s="49"/>
      <c r="J21" s="51"/>
      <c r="K21" s="49"/>
      <c r="L21" s="52"/>
      <c r="M21" s="53"/>
      <c r="N21" s="54"/>
      <c r="O21" s="55" t="str">
        <f t="shared" si="10"/>
        <v/>
      </c>
      <c r="P21" s="1"/>
      <c r="Q21" s="1" t="str">
        <f t="shared" si="0"/>
        <v/>
      </c>
      <c r="R21" s="94">
        <f t="shared" si="5"/>
        <v>0</v>
      </c>
      <c r="S21" s="93" t="e">
        <f t="shared" ref="S21:S23" si="14">IF(AVERAGE(V21:AB21)&lt;1,0,AVERAGE(V21:AB21))</f>
        <v>#DIV/0!</v>
      </c>
      <c r="T21" s="94" t="e">
        <f t="shared" ref="T21:T23" si="15">IF(AVERAGE(D21:J21)&lt;1,0,AVERAGE(D21:J21))</f>
        <v>#DIV/0!</v>
      </c>
      <c r="V21" s="154" t="str">
        <f t="shared" si="1"/>
        <v/>
      </c>
      <c r="W21" s="154"/>
      <c r="X21" s="154" t="str">
        <f t="shared" si="2"/>
        <v/>
      </c>
      <c r="Y21" s="154"/>
      <c r="Z21" s="154" t="str">
        <f t="shared" si="3"/>
        <v/>
      </c>
      <c r="AA21" s="154"/>
      <c r="AB21" s="154" t="str">
        <f t="shared" si="4"/>
        <v/>
      </c>
      <c r="AC21" s="154"/>
      <c r="AD21" s="113">
        <f t="shared" si="7"/>
        <v>0</v>
      </c>
      <c r="AE21" s="113" t="str">
        <f t="shared" si="11"/>
        <v/>
      </c>
    </row>
    <row r="22" spans="1:33">
      <c r="A22" s="94">
        <f>IF(OR(C22="-",VLOOKUP(C22,Hinweise!$C$6:$D$37,2,FALSE)=0),0,1)</f>
        <v>1</v>
      </c>
      <c r="B22" s="94"/>
      <c r="C22" s="37" t="s">
        <v>27</v>
      </c>
      <c r="D22" s="68"/>
      <c r="E22" s="112"/>
      <c r="F22" s="61"/>
      <c r="G22" s="112"/>
      <c r="H22" s="41"/>
      <c r="I22" s="23"/>
      <c r="J22" s="25"/>
      <c r="K22" s="23"/>
      <c r="L22" s="26"/>
      <c r="M22" s="27"/>
      <c r="N22" s="45"/>
      <c r="O22" s="56" t="str">
        <f t="shared" si="10"/>
        <v/>
      </c>
      <c r="P22" s="1"/>
      <c r="Q22" s="1" t="str">
        <f t="shared" si="0"/>
        <v/>
      </c>
      <c r="R22" s="94">
        <f t="shared" si="5"/>
        <v>0</v>
      </c>
      <c r="S22" s="93" t="e">
        <f t="shared" si="14"/>
        <v>#DIV/0!</v>
      </c>
      <c r="T22" s="94" t="e">
        <f t="shared" si="15"/>
        <v>#DIV/0!</v>
      </c>
      <c r="V22" s="154" t="str">
        <f t="shared" si="1"/>
        <v/>
      </c>
      <c r="W22" s="154"/>
      <c r="X22" s="154" t="str">
        <f t="shared" si="2"/>
        <v/>
      </c>
      <c r="Y22" s="154"/>
      <c r="Z22" s="154" t="str">
        <f t="shared" si="3"/>
        <v/>
      </c>
      <c r="AA22" s="154"/>
      <c r="AB22" s="154" t="str">
        <f t="shared" si="4"/>
        <v/>
      </c>
      <c r="AC22" s="154"/>
      <c r="AD22" s="113">
        <f t="shared" si="7"/>
        <v>0</v>
      </c>
      <c r="AE22" s="113" t="str">
        <f t="shared" si="11"/>
        <v/>
      </c>
    </row>
    <row r="23" spans="1:33">
      <c r="A23" s="94">
        <f>IF(OR(C23="-",VLOOKUP(C23,Hinweise!$C$6:$D$37,2,FALSE)=0),0,1)</f>
        <v>1</v>
      </c>
      <c r="B23" s="94"/>
      <c r="C23" s="38" t="s">
        <v>58</v>
      </c>
      <c r="D23" s="4"/>
      <c r="E23" s="115"/>
      <c r="F23" s="3"/>
      <c r="G23" s="115"/>
      <c r="H23" s="33"/>
      <c r="I23" s="7"/>
      <c r="J23" s="8"/>
      <c r="K23" s="7"/>
      <c r="L23" s="10"/>
      <c r="M23" s="6"/>
      <c r="N23" s="46"/>
      <c r="O23" s="43" t="str">
        <f t="shared" si="10"/>
        <v/>
      </c>
      <c r="P23" s="1"/>
      <c r="Q23" s="1" t="str">
        <f t="shared" si="0"/>
        <v/>
      </c>
      <c r="R23" s="94">
        <f t="shared" si="5"/>
        <v>0</v>
      </c>
      <c r="S23" s="93" t="e">
        <f t="shared" si="14"/>
        <v>#DIV/0!</v>
      </c>
      <c r="T23" s="94" t="e">
        <f t="shared" si="15"/>
        <v>#DIV/0!</v>
      </c>
      <c r="V23" s="154" t="str">
        <f t="shared" si="1"/>
        <v/>
      </c>
      <c r="W23" s="154"/>
      <c r="X23" s="154" t="str">
        <f t="shared" si="2"/>
        <v/>
      </c>
      <c r="Y23" s="154"/>
      <c r="Z23" s="154" t="str">
        <f t="shared" si="3"/>
        <v/>
      </c>
      <c r="AA23" s="154"/>
      <c r="AB23" s="154" t="str">
        <f t="shared" si="4"/>
        <v/>
      </c>
      <c r="AC23" s="154"/>
      <c r="AD23" s="113">
        <f t="shared" si="7"/>
        <v>0</v>
      </c>
      <c r="AE23" s="113" t="str">
        <f t="shared" si="11"/>
        <v/>
      </c>
    </row>
    <row r="24" spans="1:33" hidden="1">
      <c r="A24" s="162"/>
      <c r="B24" s="162"/>
      <c r="C24" s="172"/>
      <c r="D24" s="66"/>
      <c r="E24" s="128"/>
      <c r="F24" s="67"/>
      <c r="G24" s="128"/>
      <c r="H24" s="173"/>
      <c r="I24" s="128"/>
      <c r="J24" s="174"/>
      <c r="K24" s="175"/>
      <c r="L24" s="72"/>
      <c r="M24" s="73"/>
      <c r="N24" s="74"/>
      <c r="O24" s="75"/>
      <c r="P24" s="1"/>
      <c r="Q24" s="1"/>
      <c r="R24" s="162"/>
      <c r="S24" s="165"/>
      <c r="T24" s="162"/>
      <c r="U24" s="162"/>
      <c r="V24" s="166"/>
      <c r="W24" s="166"/>
      <c r="X24" s="166"/>
      <c r="Y24" s="166"/>
      <c r="Z24" s="166"/>
      <c r="AA24" s="166"/>
      <c r="AB24" s="166"/>
      <c r="AC24" s="166"/>
      <c r="AD24" s="167"/>
      <c r="AE24" s="113" t="str">
        <f t="shared" si="11"/>
        <v/>
      </c>
      <c r="AF24" s="165"/>
      <c r="AG24" s="165"/>
    </row>
    <row r="25" spans="1:33">
      <c r="A25" s="94">
        <v>1</v>
      </c>
      <c r="B25" s="94"/>
      <c r="C25" s="110" t="s">
        <v>17</v>
      </c>
      <c r="D25" s="84"/>
      <c r="E25" s="85"/>
      <c r="F25" s="84"/>
      <c r="G25" s="85"/>
      <c r="H25" s="248"/>
      <c r="I25" s="248"/>
      <c r="J25" s="248"/>
      <c r="K25" s="248"/>
      <c r="L25" s="86"/>
      <c r="M25" s="87"/>
      <c r="N25" s="88"/>
      <c r="O25" s="89" t="str">
        <f>IF(H25="","",H25)</f>
        <v/>
      </c>
      <c r="P25" s="1"/>
      <c r="Q25" s="1" t="str">
        <f t="shared" si="0"/>
        <v/>
      </c>
      <c r="S25" s="93"/>
      <c r="T25" s="94" t="str">
        <f t="shared" ref="T25" si="16">IF(A25=0,AVERAGE(D25:J25),"")</f>
        <v/>
      </c>
      <c r="V25" s="1"/>
      <c r="W25" s="1"/>
      <c r="X25" s="1"/>
      <c r="Y25" s="1"/>
      <c r="Z25" s="1"/>
      <c r="AA25" s="1"/>
      <c r="AB25" s="1"/>
      <c r="AC25" s="1"/>
      <c r="AD25" s="129">
        <f>SUM(AD7:AD24)</f>
        <v>0</v>
      </c>
      <c r="AE25" s="113" t="str">
        <f t="shared" si="11"/>
        <v/>
      </c>
    </row>
    <row r="26" spans="1:33" hidden="1">
      <c r="A26" s="162"/>
      <c r="B26" s="162"/>
      <c r="C26" s="176"/>
      <c r="D26" s="77"/>
      <c r="E26" s="76"/>
      <c r="F26" s="79"/>
      <c r="G26" s="76"/>
      <c r="H26" s="77"/>
      <c r="I26" s="78"/>
      <c r="J26" s="79"/>
      <c r="K26" s="78"/>
      <c r="L26" s="80"/>
      <c r="M26" s="81"/>
      <c r="N26" s="82"/>
      <c r="O26" s="83"/>
      <c r="P26" s="1"/>
      <c r="Q26" s="1"/>
      <c r="R26" s="162"/>
      <c r="S26" s="165"/>
      <c r="T26" s="162"/>
      <c r="U26" s="162"/>
      <c r="V26" s="1"/>
      <c r="W26" s="1"/>
      <c r="X26" s="1"/>
      <c r="Y26" s="1"/>
      <c r="Z26" s="1"/>
      <c r="AA26" s="1"/>
      <c r="AB26" s="1"/>
      <c r="AC26" s="1"/>
      <c r="AD26" s="177"/>
      <c r="AE26" s="177"/>
      <c r="AF26" s="165"/>
    </row>
    <row r="27" spans="1:33">
      <c r="C27" s="132" t="s">
        <v>159</v>
      </c>
      <c r="D27" s="231" t="s">
        <v>25</v>
      </c>
      <c r="E27" s="231"/>
      <c r="F27" s="231"/>
      <c r="G27" s="231"/>
      <c r="H27" s="231"/>
      <c r="I27" s="231"/>
      <c r="J27" s="231"/>
      <c r="K27" s="231"/>
    </row>
    <row r="28" spans="1:33">
      <c r="D28" s="232" t="str">
        <f>IF(AE5&gt;2,"Zur Prüfung nicht zugelassen","")</f>
        <v/>
      </c>
      <c r="E28" s="232"/>
      <c r="F28" s="232"/>
      <c r="G28" s="232"/>
      <c r="H28" s="232"/>
      <c r="I28" s="232"/>
      <c r="J28" s="232"/>
      <c r="K28" s="232"/>
    </row>
    <row r="29" spans="1:33">
      <c r="C29" s="133" t="s">
        <v>164</v>
      </c>
      <c r="D29" s="233">
        <f>2*SUM(N8:N14)</f>
        <v>0</v>
      </c>
      <c r="E29" s="234"/>
      <c r="F29" s="233" t="s">
        <v>181</v>
      </c>
      <c r="G29" s="234"/>
      <c r="H29" s="204">
        <f>U46</f>
        <v>0</v>
      </c>
      <c r="J29" s="200"/>
      <c r="K29" s="201"/>
      <c r="L29" s="197" t="s">
        <v>168</v>
      </c>
      <c r="M29" s="197" t="s">
        <v>153</v>
      </c>
      <c r="N29" s="198" t="s">
        <v>169</v>
      </c>
      <c r="R29" s="108" t="s">
        <v>24</v>
      </c>
      <c r="S29" s="108" t="s">
        <v>172</v>
      </c>
      <c r="T29" s="108" t="s">
        <v>173</v>
      </c>
      <c r="U29" s="108" t="s">
        <v>174</v>
      </c>
    </row>
    <row r="30" spans="1:33">
      <c r="C30" s="99" t="s">
        <v>171</v>
      </c>
      <c r="D30" s="233">
        <f>SUM(V7:AC24)</f>
        <v>0</v>
      </c>
      <c r="E30" s="234"/>
      <c r="F30" s="233" t="s">
        <v>157</v>
      </c>
      <c r="G30" s="234"/>
      <c r="H30" s="147">
        <f>S46</f>
        <v>0</v>
      </c>
      <c r="J30" s="137" t="s">
        <v>104</v>
      </c>
      <c r="K30" s="138"/>
      <c r="L30" s="139">
        <f>S30</f>
        <v>0</v>
      </c>
      <c r="M30" s="139">
        <f>T30</f>
        <v>0</v>
      </c>
      <c r="N30" s="140">
        <f>U30</f>
        <v>0</v>
      </c>
      <c r="R30" s="154">
        <v>0</v>
      </c>
      <c r="S30" s="154">
        <f t="shared" ref="S30:S45" si="17">COUNTIF($V$7:$AC$24,R30)</f>
        <v>0</v>
      </c>
      <c r="T30" s="154">
        <f>COUNTIF($Q$7:$Q$26,R30)</f>
        <v>0</v>
      </c>
      <c r="U30" s="154">
        <f t="shared" ref="U30:U45" si="18">COUNTIF($N$8:$N$14,R30)</f>
        <v>0</v>
      </c>
    </row>
    <row r="31" spans="1:33">
      <c r="C31" s="133" t="s">
        <v>22</v>
      </c>
      <c r="D31" s="233">
        <f>H25</f>
        <v>0</v>
      </c>
      <c r="E31" s="234"/>
      <c r="F31" s="134"/>
      <c r="G31" s="135"/>
      <c r="H31" s="136"/>
      <c r="J31" s="137" t="s">
        <v>105</v>
      </c>
      <c r="K31" s="138"/>
      <c r="L31" s="139">
        <f t="shared" ref="L31:N35" si="19">S31</f>
        <v>0</v>
      </c>
      <c r="M31" s="139">
        <f t="shared" si="19"/>
        <v>0</v>
      </c>
      <c r="N31" s="140">
        <f t="shared" si="19"/>
        <v>0</v>
      </c>
      <c r="R31" s="154">
        <v>1</v>
      </c>
      <c r="S31" s="154">
        <f t="shared" si="17"/>
        <v>0</v>
      </c>
      <c r="T31" s="154">
        <f t="shared" ref="T31:T45" si="20">COUNTIF($Q$7:$Q$26,R31)</f>
        <v>0</v>
      </c>
      <c r="U31" s="154">
        <f t="shared" si="18"/>
        <v>0</v>
      </c>
    </row>
    <row r="32" spans="1:33">
      <c r="C32" s="178"/>
      <c r="D32" s="234"/>
      <c r="E32" s="234"/>
      <c r="F32" s="135"/>
      <c r="G32" s="135"/>
      <c r="H32" s="136"/>
      <c r="J32" s="137" t="s">
        <v>106</v>
      </c>
      <c r="K32" s="138"/>
      <c r="L32" s="139">
        <f t="shared" si="19"/>
        <v>0</v>
      </c>
      <c r="M32" s="139">
        <f t="shared" si="19"/>
        <v>0</v>
      </c>
      <c r="N32" s="140">
        <f t="shared" si="19"/>
        <v>0</v>
      </c>
      <c r="R32" s="154">
        <v>2</v>
      </c>
      <c r="S32" s="154">
        <f t="shared" si="17"/>
        <v>0</v>
      </c>
      <c r="T32" s="154">
        <f t="shared" si="20"/>
        <v>0</v>
      </c>
      <c r="U32" s="154">
        <f t="shared" si="18"/>
        <v>0</v>
      </c>
    </row>
    <row r="33" spans="3:21">
      <c r="C33" s="141" t="s">
        <v>158</v>
      </c>
      <c r="D33" s="228">
        <f>SUM(D29:D32)</f>
        <v>0</v>
      </c>
      <c r="E33" s="229"/>
      <c r="F33" s="134"/>
      <c r="G33" s="135"/>
      <c r="H33" s="136"/>
      <c r="J33" s="137" t="s">
        <v>107</v>
      </c>
      <c r="K33" s="138"/>
      <c r="L33" s="139">
        <f t="shared" si="19"/>
        <v>0</v>
      </c>
      <c r="M33" s="139">
        <f t="shared" si="19"/>
        <v>0</v>
      </c>
      <c r="N33" s="140">
        <f t="shared" si="19"/>
        <v>0</v>
      </c>
      <c r="R33" s="154">
        <v>3</v>
      </c>
      <c r="S33" s="154">
        <f t="shared" si="17"/>
        <v>0</v>
      </c>
      <c r="T33" s="154">
        <f t="shared" si="20"/>
        <v>0</v>
      </c>
      <c r="U33" s="154">
        <f t="shared" si="18"/>
        <v>0</v>
      </c>
    </row>
    <row r="34" spans="3:21">
      <c r="C34" s="141" t="s">
        <v>23</v>
      </c>
      <c r="D34" s="235" t="str">
        <f>IF(D35="bestanden",INT(F34*10)/10,"")</f>
        <v/>
      </c>
      <c r="E34" s="236"/>
      <c r="F34" s="142">
        <f>17/3-5*D33/390</f>
        <v>5.666666666666667</v>
      </c>
      <c r="G34" s="134"/>
      <c r="H34" s="136"/>
      <c r="J34" s="143" t="s">
        <v>149</v>
      </c>
      <c r="K34" s="144"/>
      <c r="L34" s="145">
        <f t="shared" si="19"/>
        <v>0</v>
      </c>
      <c r="M34" s="145">
        <f t="shared" si="19"/>
        <v>0</v>
      </c>
      <c r="N34" s="146">
        <f t="shared" si="19"/>
        <v>0</v>
      </c>
      <c r="R34" s="154">
        <v>4</v>
      </c>
      <c r="S34" s="154">
        <f t="shared" si="17"/>
        <v>0</v>
      </c>
      <c r="T34" s="154">
        <f t="shared" si="20"/>
        <v>0</v>
      </c>
      <c r="U34" s="154">
        <f t="shared" si="18"/>
        <v>0</v>
      </c>
    </row>
    <row r="35" spans="3:21">
      <c r="C35" s="141" t="s">
        <v>108</v>
      </c>
      <c r="D35" s="237" t="str">
        <f>IF(AND(E41=0,H30=17,U46=4),"bestanden","nicht bestanden")</f>
        <v>nicht bestanden</v>
      </c>
      <c r="E35" s="238"/>
      <c r="F35" s="228"/>
      <c r="G35" s="135"/>
      <c r="H35" s="136"/>
      <c r="J35" s="143" t="s">
        <v>150</v>
      </c>
      <c r="K35" s="144"/>
      <c r="L35" s="145">
        <f t="shared" si="19"/>
        <v>0</v>
      </c>
      <c r="M35" s="145">
        <f t="shared" si="19"/>
        <v>0</v>
      </c>
      <c r="N35" s="146">
        <f t="shared" si="19"/>
        <v>0</v>
      </c>
      <c r="R35" s="154">
        <v>5</v>
      </c>
      <c r="S35" s="154">
        <f t="shared" si="17"/>
        <v>0</v>
      </c>
      <c r="T35" s="154">
        <f t="shared" si="20"/>
        <v>0</v>
      </c>
      <c r="U35" s="154">
        <f t="shared" si="18"/>
        <v>0</v>
      </c>
    </row>
    <row r="36" spans="3:21">
      <c r="J36" s="228" t="s">
        <v>151</v>
      </c>
      <c r="K36" s="229"/>
      <c r="L36" s="148">
        <f>SUM(L30:L33)</f>
        <v>0</v>
      </c>
      <c r="M36" s="148">
        <f>SUM(M30:M33)</f>
        <v>0</v>
      </c>
      <c r="N36" s="147">
        <f>SUM(N30:N33)</f>
        <v>0</v>
      </c>
      <c r="R36" s="154">
        <v>6</v>
      </c>
      <c r="S36" s="154">
        <f t="shared" si="17"/>
        <v>0</v>
      </c>
      <c r="T36" s="154">
        <f t="shared" si="20"/>
        <v>0</v>
      </c>
      <c r="U36" s="154">
        <f t="shared" si="18"/>
        <v>0</v>
      </c>
    </row>
    <row r="37" spans="3:21">
      <c r="C37" s="149" t="s">
        <v>176</v>
      </c>
      <c r="D37" s="222"/>
      <c r="E37" s="223"/>
      <c r="F37" s="224"/>
      <c r="J37" s="202" t="s">
        <v>152</v>
      </c>
      <c r="K37" s="203"/>
      <c r="L37" s="199">
        <f>2*L30+L31+L32+L33</f>
        <v>0</v>
      </c>
      <c r="M37" s="199">
        <f>2*M30+M31+M32+M33</f>
        <v>0</v>
      </c>
      <c r="N37" s="89">
        <f>2*N30+N31+N32+N33</f>
        <v>0</v>
      </c>
      <c r="R37" s="154">
        <v>7</v>
      </c>
      <c r="S37" s="154">
        <f t="shared" si="17"/>
        <v>0</v>
      </c>
      <c r="T37" s="154">
        <f t="shared" si="20"/>
        <v>0</v>
      </c>
      <c r="U37" s="154">
        <f t="shared" si="18"/>
        <v>0</v>
      </c>
    </row>
    <row r="38" spans="3:21">
      <c r="C38" s="150" t="s">
        <v>170</v>
      </c>
      <c r="D38" s="225" t="str">
        <f>IF(AND(M37&lt;3,N37&lt;3,U46=4),"erfüllt","nicht erfüllt")</f>
        <v>nicht erfüllt</v>
      </c>
      <c r="E38" s="225"/>
      <c r="F38" s="225"/>
      <c r="J38" s="151"/>
      <c r="K38" s="151"/>
      <c r="L38" s="152"/>
      <c r="R38" s="154">
        <v>8</v>
      </c>
      <c r="S38" s="154">
        <f t="shared" si="17"/>
        <v>0</v>
      </c>
      <c r="T38" s="154">
        <f t="shared" si="20"/>
        <v>0</v>
      </c>
      <c r="U38" s="154">
        <f t="shared" si="18"/>
        <v>0</v>
      </c>
    </row>
    <row r="39" spans="3:21">
      <c r="C39" s="153" t="s">
        <v>179</v>
      </c>
      <c r="D39" s="226" t="str">
        <f>IF(M37&lt;&gt;1,"",IF(D33&lt;130,"nicht erfüllt","erfüllt"))</f>
        <v/>
      </c>
      <c r="E39" s="226"/>
      <c r="F39" s="226"/>
      <c r="J39" s="155"/>
      <c r="K39" s="155"/>
      <c r="R39" s="154">
        <v>9</v>
      </c>
      <c r="S39" s="154">
        <f t="shared" si="17"/>
        <v>0</v>
      </c>
      <c r="T39" s="154">
        <f t="shared" si="20"/>
        <v>0</v>
      </c>
      <c r="U39" s="154">
        <f t="shared" si="18"/>
        <v>0</v>
      </c>
    </row>
    <row r="40" spans="3:21">
      <c r="C40" s="153" t="s">
        <v>180</v>
      </c>
      <c r="D40" s="226" t="str">
        <f>IF(M37&lt;&gt;2,"",IF(D33&lt;156,"nicht erfüllt","erfüllt"))</f>
        <v/>
      </c>
      <c r="E40" s="226"/>
      <c r="F40" s="226"/>
      <c r="J40" s="155"/>
      <c r="K40" s="155"/>
      <c r="R40" s="154">
        <v>10</v>
      </c>
      <c r="S40" s="154">
        <f t="shared" si="17"/>
        <v>0</v>
      </c>
      <c r="T40" s="154">
        <f t="shared" si="20"/>
        <v>0</v>
      </c>
      <c r="U40" s="154">
        <f t="shared" si="18"/>
        <v>0</v>
      </c>
    </row>
    <row r="41" spans="3:21">
      <c r="E41" s="156">
        <f>COUNTIF(D38:F40,"nicht erfüllt")</f>
        <v>1</v>
      </c>
      <c r="J41" s="157"/>
      <c r="K41" s="157"/>
      <c r="L41" s="152"/>
      <c r="R41" s="154">
        <v>11</v>
      </c>
      <c r="S41" s="154">
        <f t="shared" si="17"/>
        <v>0</v>
      </c>
      <c r="T41" s="154">
        <f t="shared" si="20"/>
        <v>0</v>
      </c>
      <c r="U41" s="154">
        <f t="shared" si="18"/>
        <v>0</v>
      </c>
    </row>
    <row r="42" spans="3:21">
      <c r="C42" s="227" t="s">
        <v>160</v>
      </c>
      <c r="D42" s="227"/>
      <c r="E42" s="227"/>
      <c r="F42" s="227"/>
      <c r="G42" s="227"/>
      <c r="H42" s="227"/>
      <c r="I42" s="227"/>
      <c r="J42" s="227"/>
      <c r="K42" s="227"/>
      <c r="L42" s="227"/>
      <c r="M42" s="227"/>
      <c r="N42" s="227"/>
      <c r="O42" s="227"/>
      <c r="R42" s="154">
        <v>12</v>
      </c>
      <c r="S42" s="154">
        <f t="shared" si="17"/>
        <v>0</v>
      </c>
      <c r="T42" s="154">
        <f t="shared" si="20"/>
        <v>0</v>
      </c>
      <c r="U42" s="154">
        <f t="shared" si="18"/>
        <v>0</v>
      </c>
    </row>
    <row r="43" spans="3:21">
      <c r="J43" s="157"/>
      <c r="K43" s="157"/>
      <c r="L43" s="152"/>
      <c r="R43" s="154">
        <v>13</v>
      </c>
      <c r="S43" s="154">
        <f t="shared" si="17"/>
        <v>0</v>
      </c>
      <c r="T43" s="154">
        <f t="shared" si="20"/>
        <v>0</v>
      </c>
      <c r="U43" s="154">
        <f t="shared" si="18"/>
        <v>0</v>
      </c>
    </row>
    <row r="44" spans="3:21">
      <c r="C44" s="194" t="s">
        <v>186</v>
      </c>
      <c r="J44" s="157"/>
      <c r="K44" s="157"/>
      <c r="L44" s="152"/>
      <c r="R44" s="154">
        <v>14</v>
      </c>
      <c r="S44" s="154">
        <f t="shared" si="17"/>
        <v>0</v>
      </c>
      <c r="T44" s="154">
        <f t="shared" si="20"/>
        <v>0</v>
      </c>
      <c r="U44" s="154">
        <f t="shared" si="18"/>
        <v>0</v>
      </c>
    </row>
    <row r="45" spans="3:21">
      <c r="C45" s="194" t="s">
        <v>165</v>
      </c>
      <c r="J45" s="157"/>
      <c r="K45" s="157"/>
      <c r="L45" s="152"/>
      <c r="R45" s="154">
        <v>15</v>
      </c>
      <c r="S45" s="154">
        <f t="shared" si="17"/>
        <v>0</v>
      </c>
      <c r="T45" s="154">
        <f t="shared" si="20"/>
        <v>0</v>
      </c>
      <c r="U45" s="154">
        <f t="shared" si="18"/>
        <v>0</v>
      </c>
    </row>
    <row r="46" spans="3:21">
      <c r="J46" s="155"/>
      <c r="K46" s="155"/>
      <c r="R46" s="154"/>
      <c r="S46" s="158">
        <f>SUM(S30:S45)</f>
        <v>0</v>
      </c>
      <c r="T46" s="158">
        <f>SUM(T30:T45)</f>
        <v>0</v>
      </c>
      <c r="U46" s="158">
        <f>SUM(U30:U45)</f>
        <v>0</v>
      </c>
    </row>
  </sheetData>
  <sheetProtection password="CD32" sheet="1" formatRows="0" selectLockedCells="1"/>
  <mergeCells count="24">
    <mergeCell ref="F29:G29"/>
    <mergeCell ref="H25:K25"/>
    <mergeCell ref="C2:D2"/>
    <mergeCell ref="J3:N3"/>
    <mergeCell ref="D4:F4"/>
    <mergeCell ref="H4:O4"/>
    <mergeCell ref="D5:K5"/>
    <mergeCell ref="D28:K28"/>
    <mergeCell ref="D39:F39"/>
    <mergeCell ref="D40:F40"/>
    <mergeCell ref="C42:O42"/>
    <mergeCell ref="I2:O2"/>
    <mergeCell ref="D33:E33"/>
    <mergeCell ref="D34:E34"/>
    <mergeCell ref="D35:F35"/>
    <mergeCell ref="J36:K36"/>
    <mergeCell ref="D37:F37"/>
    <mergeCell ref="D38:F38"/>
    <mergeCell ref="D27:K27"/>
    <mergeCell ref="D29:E29"/>
    <mergeCell ref="D30:E30"/>
    <mergeCell ref="F30:G30"/>
    <mergeCell ref="D31:E31"/>
    <mergeCell ref="D32:E32"/>
  </mergeCells>
  <conditionalFormatting sqref="T2:T4">
    <cfRule type="cellIs" dxfId="213" priority="53" operator="greaterThan">
      <formula>1</formula>
    </cfRule>
  </conditionalFormatting>
  <conditionalFormatting sqref="H30">
    <cfRule type="cellIs" dxfId="212" priority="51" operator="notEqual">
      <formula>17</formula>
    </cfRule>
    <cfRule type="cellIs" dxfId="211" priority="52" operator="equal">
      <formula>17</formula>
    </cfRule>
  </conditionalFormatting>
  <conditionalFormatting sqref="D27">
    <cfRule type="expression" dxfId="210" priority="50">
      <formula>R5&gt;1</formula>
    </cfRule>
  </conditionalFormatting>
  <conditionalFormatting sqref="D35:F35">
    <cfRule type="containsText" dxfId="209" priority="48" operator="containsText" text="nicht bestanden">
      <formula>NOT(ISERROR(SEARCH("nicht bestanden",D35)))</formula>
    </cfRule>
    <cfRule type="containsText" dxfId="208" priority="49" operator="containsText" text="bestanden">
      <formula>NOT(ISERROR(SEARCH("bestanden",D35)))</formula>
    </cfRule>
  </conditionalFormatting>
  <conditionalFormatting sqref="D18">
    <cfRule type="expression" dxfId="207" priority="46">
      <formula>"G5=0"</formula>
    </cfRule>
    <cfRule type="expression" dxfId="206" priority="47">
      <formula>E18=1</formula>
    </cfRule>
  </conditionalFormatting>
  <conditionalFormatting sqref="F16">
    <cfRule type="expression" dxfId="205" priority="44">
      <formula>"G5=0"</formula>
    </cfRule>
    <cfRule type="expression" dxfId="204" priority="45">
      <formula>G16=1</formula>
    </cfRule>
  </conditionalFormatting>
  <conditionalFormatting sqref="H7">
    <cfRule type="expression" dxfId="203" priority="42">
      <formula>"&lt;&gt;istzahl(Z7)"</formula>
    </cfRule>
    <cfRule type="expression" dxfId="202" priority="43">
      <formula>ISNUMBER(Z7)</formula>
    </cfRule>
  </conditionalFormatting>
  <conditionalFormatting sqref="D11">
    <cfRule type="expression" dxfId="201" priority="40">
      <formula>"&lt;&gt;istzahl(Z7)"</formula>
    </cfRule>
    <cfRule type="expression" dxfId="200" priority="41">
      <formula>ISNUMBER(V11)</formula>
    </cfRule>
  </conditionalFormatting>
  <conditionalFormatting sqref="D17">
    <cfRule type="expression" dxfId="199" priority="38">
      <formula>"&lt;&gt;istzahl(Z7)"</formula>
    </cfRule>
    <cfRule type="expression" dxfId="198" priority="39">
      <formula>ISNUMBER(V17)</formula>
    </cfRule>
  </conditionalFormatting>
  <conditionalFormatting sqref="F8:F11">
    <cfRule type="expression" dxfId="197" priority="36">
      <formula>"&lt;&gt;istzahl(Z7)"</formula>
    </cfRule>
    <cfRule type="expression" dxfId="196" priority="37">
      <formula>ISNUMBER(X8)</formula>
    </cfRule>
  </conditionalFormatting>
  <conditionalFormatting sqref="F14:F15">
    <cfRule type="expression" dxfId="195" priority="34">
      <formula>"&lt;&gt;istzahl(Z7)"</formula>
    </cfRule>
    <cfRule type="expression" dxfId="194" priority="35">
      <formula>ISNUMBER(X14)</formula>
    </cfRule>
  </conditionalFormatting>
  <conditionalFormatting sqref="F17:F19">
    <cfRule type="expression" dxfId="193" priority="32">
      <formula>"&lt;&gt;istzahl(Z7)"</formula>
    </cfRule>
    <cfRule type="expression" dxfId="192" priority="33">
      <formula>ISNUMBER(X17)</formula>
    </cfRule>
  </conditionalFormatting>
  <conditionalFormatting sqref="H8:H10">
    <cfRule type="expression" dxfId="191" priority="30">
      <formula>"&lt;&gt;istzahl(Z7)"</formula>
    </cfRule>
    <cfRule type="expression" dxfId="190" priority="31">
      <formula>ISNUMBER(Z8)</formula>
    </cfRule>
  </conditionalFormatting>
  <conditionalFormatting sqref="H12:H13">
    <cfRule type="expression" dxfId="189" priority="28">
      <formula>"&lt;&gt;istzahl(Z7)"</formula>
    </cfRule>
    <cfRule type="expression" dxfId="188" priority="29">
      <formula>ISNUMBER(Z12)</formula>
    </cfRule>
  </conditionalFormatting>
  <conditionalFormatting sqref="H14:H16">
    <cfRule type="expression" dxfId="187" priority="26">
      <formula>"&lt;&gt;istzahl(Z7)"</formula>
    </cfRule>
    <cfRule type="expression" dxfId="186" priority="27">
      <formula>ISNUMBER(Z14)</formula>
    </cfRule>
  </conditionalFormatting>
  <conditionalFormatting sqref="H18:H24">
    <cfRule type="expression" dxfId="185" priority="24">
      <formula>"&lt;&gt;istzahl(Z7)"</formula>
    </cfRule>
    <cfRule type="expression" dxfId="184" priority="25">
      <formula>ISNUMBER(Z18)</formula>
    </cfRule>
  </conditionalFormatting>
  <conditionalFormatting sqref="J7">
    <cfRule type="expression" dxfId="183" priority="22">
      <formula>"&lt;&gt;istzahl(Z7)"</formula>
    </cfRule>
    <cfRule type="expression" dxfId="182" priority="23">
      <formula>ISNUMBER(AB7)</formula>
    </cfRule>
  </conditionalFormatting>
  <conditionalFormatting sqref="J8:J10">
    <cfRule type="expression" dxfId="181" priority="20">
      <formula>"&lt;&gt;istzahl(Z7)"</formula>
    </cfRule>
    <cfRule type="expression" dxfId="180" priority="21">
      <formula>ISNUMBER(AB8)</formula>
    </cfRule>
  </conditionalFormatting>
  <conditionalFormatting sqref="J12:J13">
    <cfRule type="expression" dxfId="179" priority="18">
      <formula>"&lt;&gt;istzahl(Z7)"</formula>
    </cfRule>
    <cfRule type="expression" dxfId="178" priority="19">
      <formula>ISNUMBER(AB12)</formula>
    </cfRule>
  </conditionalFormatting>
  <conditionalFormatting sqref="J14:J16">
    <cfRule type="expression" dxfId="177" priority="16">
      <formula>"&lt;&gt;istzahl(Z7)"</formula>
    </cfRule>
    <cfRule type="expression" dxfId="176" priority="17">
      <formula>ISNUMBER(AB14)</formula>
    </cfRule>
  </conditionalFormatting>
  <conditionalFormatting sqref="J18:J24">
    <cfRule type="expression" dxfId="175" priority="14">
      <formula>"&lt;&gt;istzahl(Z7)"</formula>
    </cfRule>
    <cfRule type="expression" dxfId="174" priority="15">
      <formula>ISNUMBER(AB18)</formula>
    </cfRule>
  </conditionalFormatting>
  <conditionalFormatting sqref="L8">
    <cfRule type="expression" dxfId="173" priority="13">
      <formula>ISNUMBER(L8)</formula>
    </cfRule>
  </conditionalFormatting>
  <conditionalFormatting sqref="L9:L10">
    <cfRule type="expression" dxfId="172" priority="12">
      <formula>ISNUMBER(L9)</formula>
    </cfRule>
  </conditionalFormatting>
  <conditionalFormatting sqref="M8:M10">
    <cfRule type="expression" dxfId="171" priority="11">
      <formula>ISNUMBER(M8)</formula>
    </cfRule>
  </conditionalFormatting>
  <conditionalFormatting sqref="L14">
    <cfRule type="expression" dxfId="170" priority="10">
      <formula>ISNUMBER(L14)</formula>
    </cfRule>
  </conditionalFormatting>
  <conditionalFormatting sqref="M14">
    <cfRule type="expression" dxfId="169" priority="9">
      <formula>ISNUMBER(M14)</formula>
    </cfRule>
  </conditionalFormatting>
  <conditionalFormatting sqref="D26">
    <cfRule type="expression" dxfId="168" priority="8">
      <formula>ISNUMBER(D26)</formula>
    </cfRule>
  </conditionalFormatting>
  <conditionalFormatting sqref="F26">
    <cfRule type="expression" dxfId="167" priority="7">
      <formula>ISNUMBER(F26)</formula>
    </cfRule>
  </conditionalFormatting>
  <conditionalFormatting sqref="H25:K25">
    <cfRule type="expression" dxfId="166" priority="6">
      <formula>ISNUMBER(H25)</formula>
    </cfRule>
  </conditionalFormatting>
  <conditionalFormatting sqref="H29">
    <cfRule type="expression" dxfId="165" priority="4">
      <formula>$H$29&lt;&gt;4</formula>
    </cfRule>
    <cfRule type="expression" dxfId="164" priority="5">
      <formula>$H$29=4</formula>
    </cfRule>
  </conditionalFormatting>
  <conditionalFormatting sqref="O22">
    <cfRule type="expression" dxfId="163" priority="3">
      <formula>$A$22=0</formula>
    </cfRule>
  </conditionalFormatting>
  <conditionalFormatting sqref="O23">
    <cfRule type="expression" dxfId="162" priority="2">
      <formula>$A$23=0</formula>
    </cfRule>
  </conditionalFormatting>
  <conditionalFormatting sqref="D28:K28">
    <cfRule type="containsText" dxfId="161" priority="1" operator="containsText" text="Zur Prüfung nicht zugelassen">
      <formula>NOT(ISERROR(SEARCH("Zur Prüfung nicht zugelassen",D28)))</formula>
    </cfRule>
  </conditionalFormatting>
  <dataValidations count="2">
    <dataValidation type="whole" allowBlank="1" showInputMessage="1" showErrorMessage="1" sqref="K26">
      <formula1>0</formula1>
      <formula2>1</formula2>
    </dataValidation>
    <dataValidation type="whole" allowBlank="1" showInputMessage="1" showErrorMessage="1" sqref="J7:J10 F26 L14:M14 D11 F14:F16 D18 H19:H25 F18:F20 D26 F8:F11 L8:M10 H7:H10 H12:H16 J12:J16 J19:J24">
      <formula1>0</formula1>
      <formula2>15</formula2>
    </dataValidation>
  </dataValidations>
  <pageMargins left="0.70866141732283472" right="0.70866141732283472" top="1.3779527559055118" bottom="0.78740157480314965" header="0.31496062992125984" footer="0.31496062992125984"/>
  <pageSetup paperSize="9" scale="97" orientation="portrait" r:id="rId1"/>
  <headerFooter>
    <oddHeader>&amp;L&amp;G&amp;R&amp;G</oddHeader>
  </headerFooter>
  <ignoredErrors>
    <ignoredError sqref="C14:C15 C20:C21" unlockedFormula="1"/>
  </ignoredErrors>
  <drawing r:id="rId2"/>
  <legacyDrawing r:id="rId3"/>
  <legacyDrawingHF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Hinweise!$G$4:$G$10</xm:f>
          </x14:formula1>
          <xm:sqref>D4</xm:sqref>
        </x14:dataValidation>
        <x14:dataValidation type="list" allowBlank="1" showInputMessage="1" showErrorMessage="1">
          <x14:formula1>
            <xm:f>Hinweise!$K$18:$K$19</xm:f>
          </x14:formula1>
          <xm:sqref>I7:I24 E7:E24 G7:G24 K7:K24</xm:sqref>
        </x14:dataValidation>
        <x14:dataValidation type="list" allowBlank="1" showInputMessage="1" showErrorMessage="1">
          <x14:formula1>
            <xm:f>Hinweise!$C$5:$C$37</xm:f>
          </x14:formula1>
          <xm:sqref>C24</xm:sqref>
        </x14:dataValidation>
        <x14:dataValidation type="list" allowBlank="1" showInputMessage="1" showErrorMessage="1">
          <x14:formula1>
            <xm:f>Hinweise!$C$6:$C$37</xm:f>
          </x14:formula1>
          <xm:sqref>C22:C23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2:AI46"/>
  <sheetViews>
    <sheetView topLeftCell="B1" zoomScaleNormal="100" workbookViewId="0">
      <selection activeCell="D4" sqref="D4:F4"/>
    </sheetView>
  </sheetViews>
  <sheetFormatPr baseColWidth="10" defaultRowHeight="15.75"/>
  <cols>
    <col min="1" max="1" width="5.625" style="93" hidden="1" customWidth="1"/>
    <col min="2" max="2" width="3.5" style="93" customWidth="1"/>
    <col min="3" max="3" width="27.25" style="93" customWidth="1"/>
    <col min="4" max="4" width="5.75" style="93" customWidth="1"/>
    <col min="5" max="5" width="3.625" style="93" bestFit="1" customWidth="1"/>
    <col min="6" max="6" width="5.75" style="93" customWidth="1"/>
    <col min="7" max="7" width="3.625" style="93" bestFit="1" customWidth="1"/>
    <col min="8" max="8" width="5.75" style="93" customWidth="1"/>
    <col min="9" max="9" width="3.625" style="93" bestFit="1" customWidth="1"/>
    <col min="10" max="10" width="5.75" style="93" customWidth="1"/>
    <col min="11" max="11" width="3.625" style="93" bestFit="1" customWidth="1"/>
    <col min="12" max="14" width="4" style="93" customWidth="1"/>
    <col min="15" max="15" width="5.375" style="93" customWidth="1"/>
    <col min="16" max="17" width="5.375" style="93" hidden="1" customWidth="1"/>
    <col min="18" max="19" width="8.25" style="94" hidden="1" customWidth="1"/>
    <col min="20" max="21" width="11" style="94" hidden="1" customWidth="1"/>
    <col min="22" max="22" width="4.625" style="94" hidden="1" customWidth="1"/>
    <col min="23" max="23" width="9.25" style="94" hidden="1" customWidth="1"/>
    <col min="24" max="24" width="4.625" style="94" hidden="1" customWidth="1"/>
    <col min="25" max="25" width="9.25" style="94" hidden="1" customWidth="1"/>
    <col min="26" max="26" width="4.625" style="94" hidden="1" customWidth="1"/>
    <col min="27" max="27" width="9.25" style="94" hidden="1" customWidth="1"/>
    <col min="28" max="28" width="4.625" style="94" hidden="1" customWidth="1"/>
    <col min="29" max="29" width="9.25" style="94" hidden="1" customWidth="1"/>
    <col min="30" max="31" width="9" style="95" hidden="1" customWidth="1"/>
    <col min="32" max="32" width="7.5" style="93" hidden="1" customWidth="1"/>
    <col min="33" max="33" width="9.5" style="93" hidden="1" customWidth="1"/>
    <col min="34" max="34" width="9.875" style="94" bestFit="1" customWidth="1"/>
    <col min="35" max="35" width="9.5" style="94" bestFit="1" customWidth="1"/>
    <col min="36" max="16384" width="11" style="93"/>
  </cols>
  <sheetData>
    <row r="2" spans="1:31" ht="21">
      <c r="C2" s="240" t="s">
        <v>21</v>
      </c>
      <c r="D2" s="240"/>
      <c r="H2" s="93" t="s">
        <v>113</v>
      </c>
      <c r="I2" s="241" t="s">
        <v>187</v>
      </c>
      <c r="J2" s="241"/>
      <c r="K2" s="241"/>
      <c r="L2" s="241"/>
      <c r="M2" s="241"/>
      <c r="N2" s="241"/>
      <c r="O2" s="241"/>
    </row>
    <row r="3" spans="1:31" ht="15.75" customHeight="1">
      <c r="C3" s="96"/>
      <c r="D3" s="96"/>
      <c r="J3" s="242">
        <f ca="1">NOW()</f>
        <v>43522.649079166666</v>
      </c>
      <c r="K3" s="242"/>
      <c r="L3" s="242"/>
      <c r="M3" s="242"/>
      <c r="N3" s="242"/>
    </row>
    <row r="4" spans="1:31" ht="15.75" customHeight="1">
      <c r="C4" s="97" t="s">
        <v>161</v>
      </c>
      <c r="D4" s="243" t="s">
        <v>120</v>
      </c>
      <c r="E4" s="244"/>
      <c r="F4" s="245"/>
      <c r="G4" s="98"/>
      <c r="H4" s="246" t="s">
        <v>160</v>
      </c>
      <c r="I4" s="247"/>
      <c r="J4" s="247"/>
      <c r="K4" s="247"/>
      <c r="L4" s="247"/>
      <c r="M4" s="247"/>
      <c r="N4" s="247"/>
      <c r="O4" s="247"/>
    </row>
    <row r="5" spans="1:31">
      <c r="D5" s="239" t="s">
        <v>166</v>
      </c>
      <c r="E5" s="239"/>
      <c r="F5" s="239"/>
      <c r="G5" s="239"/>
      <c r="H5" s="239"/>
      <c r="I5" s="239"/>
      <c r="J5" s="239"/>
      <c r="K5" s="239"/>
      <c r="R5" s="94">
        <f>MAX(R7:R24)</f>
        <v>0</v>
      </c>
      <c r="AE5" s="208">
        <f>SUM(AE7:AE26)</f>
        <v>2</v>
      </c>
    </row>
    <row r="6" spans="1:31">
      <c r="A6" s="93" t="s">
        <v>115</v>
      </c>
      <c r="C6" s="99"/>
      <c r="D6" s="100" t="s">
        <v>0</v>
      </c>
      <c r="E6" s="101" t="s">
        <v>136</v>
      </c>
      <c r="F6" s="100" t="s">
        <v>1</v>
      </c>
      <c r="G6" s="101" t="s">
        <v>136</v>
      </c>
      <c r="H6" s="100" t="s">
        <v>2</v>
      </c>
      <c r="I6" s="101" t="s">
        <v>136</v>
      </c>
      <c r="J6" s="100" t="s">
        <v>3</v>
      </c>
      <c r="K6" s="101" t="s">
        <v>136</v>
      </c>
      <c r="L6" s="100" t="s">
        <v>19</v>
      </c>
      <c r="M6" s="102" t="s">
        <v>20</v>
      </c>
      <c r="N6" s="103" t="s">
        <v>169</v>
      </c>
      <c r="O6" s="104" t="s">
        <v>153</v>
      </c>
      <c r="P6" s="105"/>
      <c r="Q6" s="106" t="s">
        <v>154</v>
      </c>
      <c r="R6" s="105" t="s">
        <v>148</v>
      </c>
      <c r="S6" s="105" t="s">
        <v>153</v>
      </c>
      <c r="T6" s="105"/>
      <c r="V6" s="107" t="s">
        <v>0</v>
      </c>
      <c r="W6" s="108" t="s">
        <v>109</v>
      </c>
      <c r="X6" s="107" t="s">
        <v>1</v>
      </c>
      <c r="Y6" s="108" t="s">
        <v>110</v>
      </c>
      <c r="Z6" s="107" t="s">
        <v>2</v>
      </c>
      <c r="AA6" s="108" t="s">
        <v>111</v>
      </c>
      <c r="AB6" s="107" t="s">
        <v>3</v>
      </c>
      <c r="AC6" s="108" t="s">
        <v>112</v>
      </c>
      <c r="AD6" s="109" t="s">
        <v>147</v>
      </c>
      <c r="AE6" s="206" t="s">
        <v>184</v>
      </c>
    </row>
    <row r="7" spans="1:31">
      <c r="A7" s="94">
        <v>1</v>
      </c>
      <c r="B7" s="94"/>
      <c r="C7" s="110" t="s">
        <v>4</v>
      </c>
      <c r="D7" s="31"/>
      <c r="E7" s="111"/>
      <c r="F7" s="24"/>
      <c r="G7" s="112"/>
      <c r="H7" s="39">
        <v>6</v>
      </c>
      <c r="I7" s="12"/>
      <c r="J7" s="13">
        <v>7</v>
      </c>
      <c r="K7" s="23"/>
      <c r="L7" s="21"/>
      <c r="M7" s="22"/>
      <c r="N7" s="45"/>
      <c r="O7" s="42">
        <f>IF(AND(ISERROR(S7),ISERROR(T7)),"",IF(ISNUMBER(S7),ROUND(S7,0),ROUND(T7,0)))</f>
        <v>7</v>
      </c>
      <c r="P7" s="1"/>
      <c r="Q7" s="1">
        <f t="shared" ref="Q7:Q26" si="0">IF(A7=1,O7,"")</f>
        <v>7</v>
      </c>
      <c r="R7" s="94">
        <f>COUNTIF(D7:K7,"x")</f>
        <v>0</v>
      </c>
      <c r="S7" s="93">
        <f>IF(AVERAGE(V7:AB7)&lt;1,0,AVERAGE(V7:AB7))</f>
        <v>6.5</v>
      </c>
      <c r="T7" s="94">
        <f>IF(AVERAGE(D7:J7)&lt;1,0,AVERAGE(D7:J7))</f>
        <v>6.5</v>
      </c>
      <c r="V7" s="193" t="str">
        <f t="shared" ref="V7:V24" si="1">IF(AND(ISNUMBER(D7),E7="",$A7=1),D7,"")</f>
        <v/>
      </c>
      <c r="W7" s="193"/>
      <c r="X7" s="193" t="str">
        <f t="shared" ref="X7:X24" si="2">IF(AND(ISNUMBER(F7),G7="",$A7=1),F7,"")</f>
        <v/>
      </c>
      <c r="Y7" s="193"/>
      <c r="Z7" s="193">
        <f t="shared" ref="Z7:Z24" si="3">IF(AND(ISNUMBER(H7),I7="",$A7=1),H7,"")</f>
        <v>6</v>
      </c>
      <c r="AA7" s="193"/>
      <c r="AB7" s="193">
        <f t="shared" ref="AB7:AB24" si="4">IF(AND(ISNUMBER(J7),K7="",$A7=1),J7,"")</f>
        <v>7</v>
      </c>
      <c r="AC7" s="193"/>
      <c r="AD7" s="207">
        <f>COUNT(V7:AB7)</f>
        <v>2</v>
      </c>
      <c r="AE7" s="207" t="str">
        <f>IF(Q7&lt;4,IF(Q7=0,2,1),"")</f>
        <v/>
      </c>
    </row>
    <row r="8" spans="1:31">
      <c r="A8" s="94">
        <v>1</v>
      </c>
      <c r="B8" s="94"/>
      <c r="C8" s="114" t="s">
        <v>5</v>
      </c>
      <c r="D8" s="32"/>
      <c r="E8" s="115"/>
      <c r="F8" s="8">
        <v>8</v>
      </c>
      <c r="G8" s="7"/>
      <c r="H8" s="33">
        <v>5</v>
      </c>
      <c r="I8" s="7"/>
      <c r="J8" s="8">
        <v>10</v>
      </c>
      <c r="K8" s="7"/>
      <c r="L8" s="9"/>
      <c r="M8" s="5"/>
      <c r="N8" s="116" t="str">
        <f>IF(ISBLANK(L8),"",IF(ISBLANK(M8),L8,IF((L8*2+M8)/3&lt;1,0,ROUND((L8*2+M8)/3,0))))</f>
        <v/>
      </c>
      <c r="O8" s="43" t="str">
        <f>IF(ISBLANK(L8),"",IF(AND(ISERROR(S8),ISERROR(T8)),"",IF(ISNUMBER(S8),ROUND(S8,0),ROUND(T8,0))))</f>
        <v/>
      </c>
      <c r="P8" s="1"/>
      <c r="Q8" s="1" t="str">
        <f t="shared" si="0"/>
        <v/>
      </c>
      <c r="R8" s="94">
        <f t="shared" ref="R8:R24" si="5">COUNTIF(D8:K8,"x")</f>
        <v>0</v>
      </c>
      <c r="S8" s="117" t="e">
        <f>IF((3*N8+SUM(V8:AB8))/(AD8+3)&lt;1,0,(3*N8+SUM(V8:AB8))/(AD8+3))</f>
        <v>#VALUE!</v>
      </c>
      <c r="T8" s="94">
        <f t="shared" ref="T8:T14" si="6">AVERAGE(D8:J8)</f>
        <v>7.666666666666667</v>
      </c>
      <c r="V8" s="193" t="str">
        <f t="shared" si="1"/>
        <v/>
      </c>
      <c r="W8" s="193"/>
      <c r="X8" s="193">
        <f t="shared" si="2"/>
        <v>8</v>
      </c>
      <c r="Y8" s="193"/>
      <c r="Z8" s="193">
        <f t="shared" si="3"/>
        <v>5</v>
      </c>
      <c r="AA8" s="193"/>
      <c r="AB8" s="193">
        <f t="shared" si="4"/>
        <v>10</v>
      </c>
      <c r="AC8" s="193"/>
      <c r="AD8" s="207">
        <f t="shared" ref="AD8:AD24" si="7">COUNT(V8:AB8)</f>
        <v>3</v>
      </c>
      <c r="AE8" s="207"/>
    </row>
    <row r="9" spans="1:31">
      <c r="A9" s="94">
        <v>1</v>
      </c>
      <c r="B9" s="94"/>
      <c r="C9" s="114" t="s">
        <v>6</v>
      </c>
      <c r="D9" s="32"/>
      <c r="E9" s="115"/>
      <c r="F9" s="8">
        <v>9</v>
      </c>
      <c r="G9" s="7"/>
      <c r="H9" s="33">
        <v>2</v>
      </c>
      <c r="I9" s="7"/>
      <c r="J9" s="8">
        <v>4</v>
      </c>
      <c r="K9" s="7"/>
      <c r="L9" s="9"/>
      <c r="M9" s="5">
        <v>9</v>
      </c>
      <c r="N9" s="116" t="str">
        <f>IF(ISBLANK(L9),"",IF(ISBLANK(M9),L9,IF((L9*2+M9)/3&lt;1,0,ROUND((L9*2+M9)/3,0))))</f>
        <v/>
      </c>
      <c r="O9" s="43" t="str">
        <f>IF(ISBLANK(L9),"",IF(AND(ISERROR(S9),ISERROR(T9)),"",IF(ISNUMBER(S9),ROUND(S9,0),ROUND(T9,0))))</f>
        <v/>
      </c>
      <c r="P9" s="1"/>
      <c r="Q9" s="1" t="str">
        <f t="shared" si="0"/>
        <v/>
      </c>
      <c r="R9" s="94">
        <f t="shared" si="5"/>
        <v>0</v>
      </c>
      <c r="S9" s="117" t="e">
        <f t="shared" ref="S9:S10" si="8">IF((3*N9+SUM(V9:AB9))/(AD9+3)&lt;1,0,(3*N9+SUM(V9:AB9))/(AD9+3))</f>
        <v>#VALUE!</v>
      </c>
      <c r="T9" s="94">
        <f t="shared" si="6"/>
        <v>5</v>
      </c>
      <c r="V9" s="193" t="str">
        <f t="shared" si="1"/>
        <v/>
      </c>
      <c r="W9" s="193"/>
      <c r="X9" s="193">
        <f t="shared" si="2"/>
        <v>9</v>
      </c>
      <c r="Y9" s="193"/>
      <c r="Z9" s="193">
        <f t="shared" si="3"/>
        <v>2</v>
      </c>
      <c r="AA9" s="193"/>
      <c r="AB9" s="193">
        <f t="shared" si="4"/>
        <v>4</v>
      </c>
      <c r="AC9" s="193"/>
      <c r="AD9" s="207">
        <f t="shared" si="7"/>
        <v>3</v>
      </c>
      <c r="AE9" s="207"/>
    </row>
    <row r="10" spans="1:31">
      <c r="A10" s="94">
        <v>1</v>
      </c>
      <c r="B10" s="94"/>
      <c r="C10" s="114" t="s">
        <v>9</v>
      </c>
      <c r="D10" s="32"/>
      <c r="E10" s="115"/>
      <c r="F10" s="8">
        <v>5</v>
      </c>
      <c r="G10" s="7"/>
      <c r="H10" s="33">
        <v>7</v>
      </c>
      <c r="I10" s="7"/>
      <c r="J10" s="8">
        <v>3</v>
      </c>
      <c r="K10" s="7"/>
      <c r="L10" s="9"/>
      <c r="M10" s="5"/>
      <c r="N10" s="116" t="str">
        <f>IF(ISBLANK(L10),"",IF(ISBLANK(M10),L10,IF((L10*2+M10)/3&lt;1,0,ROUND((L10*2+M10)/3,0))))</f>
        <v/>
      </c>
      <c r="O10" s="43" t="str">
        <f>IF(ISBLANK(L10),"",IF(AND(ISERROR(S10),ISERROR(T10)),"",IF(ISNUMBER(S10),ROUND(S10,0),ROUND(T10,0))))</f>
        <v/>
      </c>
      <c r="P10" s="1"/>
      <c r="Q10" s="1" t="str">
        <f t="shared" si="0"/>
        <v/>
      </c>
      <c r="R10" s="94">
        <f t="shared" si="5"/>
        <v>0</v>
      </c>
      <c r="S10" s="117" t="e">
        <f t="shared" si="8"/>
        <v>#VALUE!</v>
      </c>
      <c r="T10" s="94">
        <f t="shared" si="6"/>
        <v>5</v>
      </c>
      <c r="V10" s="193" t="str">
        <f t="shared" si="1"/>
        <v/>
      </c>
      <c r="W10" s="193"/>
      <c r="X10" s="193">
        <f t="shared" si="2"/>
        <v>5</v>
      </c>
      <c r="Y10" s="193"/>
      <c r="Z10" s="193">
        <f t="shared" si="3"/>
        <v>7</v>
      </c>
      <c r="AA10" s="193"/>
      <c r="AB10" s="193">
        <f t="shared" si="4"/>
        <v>3</v>
      </c>
      <c r="AC10" s="193"/>
      <c r="AD10" s="207">
        <f t="shared" si="7"/>
        <v>3</v>
      </c>
      <c r="AE10" s="207"/>
    </row>
    <row r="11" spans="1:31">
      <c r="A11" s="94">
        <v>1</v>
      </c>
      <c r="B11" s="94"/>
      <c r="C11" s="114" t="s">
        <v>7</v>
      </c>
      <c r="D11" s="33">
        <v>10</v>
      </c>
      <c r="E11" s="7"/>
      <c r="F11" s="8">
        <v>7</v>
      </c>
      <c r="G11" s="7"/>
      <c r="H11" s="32"/>
      <c r="I11" s="115"/>
      <c r="J11" s="2"/>
      <c r="K11" s="115"/>
      <c r="L11" s="10"/>
      <c r="M11" s="6"/>
      <c r="N11" s="118"/>
      <c r="O11" s="43">
        <f t="shared" ref="O11:O24" si="9">IF(AND(ISERROR(S11),ISERROR(T11)),"",IF(ISNUMBER(S11),ROUND(S11,0),ROUND(T11,0)))</f>
        <v>9</v>
      </c>
      <c r="P11" s="1"/>
      <c r="Q11" s="1">
        <f t="shared" si="0"/>
        <v>9</v>
      </c>
      <c r="R11" s="94">
        <f t="shared" si="5"/>
        <v>0</v>
      </c>
      <c r="S11" s="93">
        <f>IF(AVERAGE(V11:AB11)&lt;1,0,AVERAGE(V11:AB11))</f>
        <v>8.5</v>
      </c>
      <c r="T11" s="94">
        <f>IF(AVERAGE(D11:J11)&lt;1,0,AVERAGE(D11:J11))</f>
        <v>8.5</v>
      </c>
      <c r="V11" s="193">
        <f t="shared" si="1"/>
        <v>10</v>
      </c>
      <c r="W11" s="193"/>
      <c r="X11" s="193">
        <f t="shared" si="2"/>
        <v>7</v>
      </c>
      <c r="Y11" s="193"/>
      <c r="Z11" s="193" t="str">
        <f t="shared" si="3"/>
        <v/>
      </c>
      <c r="AA11" s="193"/>
      <c r="AB11" s="193" t="str">
        <f t="shared" si="4"/>
        <v/>
      </c>
      <c r="AC11" s="193"/>
      <c r="AD11" s="207">
        <f t="shared" si="7"/>
        <v>2</v>
      </c>
      <c r="AE11" s="207" t="str">
        <f t="shared" ref="AE11:AE26" si="10">IF(Q11&lt;4,IF(Q11=0,2,1),"")</f>
        <v/>
      </c>
    </row>
    <row r="12" spans="1:31">
      <c r="A12" s="94">
        <v>1</v>
      </c>
      <c r="B12" s="94"/>
      <c r="C12" s="114" t="s">
        <v>8</v>
      </c>
      <c r="D12" s="32"/>
      <c r="E12" s="115"/>
      <c r="F12" s="2"/>
      <c r="G12" s="115"/>
      <c r="H12" s="33">
        <v>12</v>
      </c>
      <c r="I12" s="7"/>
      <c r="J12" s="8">
        <v>9</v>
      </c>
      <c r="K12" s="7"/>
      <c r="L12" s="10"/>
      <c r="M12" s="6"/>
      <c r="N12" s="118"/>
      <c r="O12" s="43">
        <f t="shared" si="9"/>
        <v>11</v>
      </c>
      <c r="P12" s="1"/>
      <c r="Q12" s="1">
        <f t="shared" si="0"/>
        <v>11</v>
      </c>
      <c r="R12" s="94">
        <f t="shared" si="5"/>
        <v>0</v>
      </c>
      <c r="S12" s="93">
        <f>IF(AVERAGE(V12:AB12)&lt;1,0,AVERAGE(V12:AB12))</f>
        <v>10.5</v>
      </c>
      <c r="T12" s="94">
        <f>IF(AVERAGE(D12:J12)&lt;1,0,AVERAGE(D12:J12))</f>
        <v>10.5</v>
      </c>
      <c r="V12" s="193" t="str">
        <f t="shared" si="1"/>
        <v/>
      </c>
      <c r="W12" s="193"/>
      <c r="X12" s="193" t="str">
        <f t="shared" si="2"/>
        <v/>
      </c>
      <c r="Y12" s="193"/>
      <c r="Z12" s="193">
        <f t="shared" si="3"/>
        <v>12</v>
      </c>
      <c r="AA12" s="193"/>
      <c r="AB12" s="193">
        <f t="shared" si="4"/>
        <v>9</v>
      </c>
      <c r="AC12" s="193"/>
      <c r="AD12" s="207">
        <f t="shared" si="7"/>
        <v>2</v>
      </c>
      <c r="AE12" s="207" t="str">
        <f t="shared" si="10"/>
        <v/>
      </c>
    </row>
    <row r="13" spans="1:31">
      <c r="A13" s="94">
        <v>0</v>
      </c>
      <c r="B13" s="94"/>
      <c r="C13" s="119" t="s">
        <v>130</v>
      </c>
      <c r="D13" s="34"/>
      <c r="E13" s="120"/>
      <c r="F13" s="17"/>
      <c r="G13" s="120"/>
      <c r="H13" s="40">
        <v>1</v>
      </c>
      <c r="I13" s="16"/>
      <c r="J13" s="18">
        <v>1</v>
      </c>
      <c r="K13" s="16"/>
      <c r="L13" s="19"/>
      <c r="M13" s="20"/>
      <c r="N13" s="121"/>
      <c r="O13" s="205">
        <f t="shared" si="9"/>
        <v>1</v>
      </c>
      <c r="P13" s="1"/>
      <c r="Q13" s="1" t="str">
        <f t="shared" si="0"/>
        <v/>
      </c>
      <c r="R13" s="94">
        <f t="shared" si="5"/>
        <v>0</v>
      </c>
      <c r="S13" s="93" t="e">
        <f>IF(AVERAGE(V13:AB13)&lt;1,0,AVERAGE(V13:AB13))</f>
        <v>#DIV/0!</v>
      </c>
      <c r="T13" s="94">
        <f>IF(AVERAGE(D13:J13)&lt;1,0,AVERAGE(D13:J13))</f>
        <v>1</v>
      </c>
      <c r="V13" s="193" t="str">
        <f t="shared" si="1"/>
        <v/>
      </c>
      <c r="W13" s="193"/>
      <c r="X13" s="193" t="str">
        <f t="shared" si="2"/>
        <v/>
      </c>
      <c r="Y13" s="193"/>
      <c r="Z13" s="193" t="str">
        <f t="shared" si="3"/>
        <v/>
      </c>
      <c r="AA13" s="193"/>
      <c r="AB13" s="193" t="str">
        <f t="shared" si="4"/>
        <v/>
      </c>
      <c r="AC13" s="193"/>
      <c r="AD13" s="207">
        <f t="shared" si="7"/>
        <v>0</v>
      </c>
      <c r="AE13" s="207" t="str">
        <f t="shared" si="10"/>
        <v/>
      </c>
    </row>
    <row r="14" spans="1:31">
      <c r="A14" s="94">
        <f>IF(C14="-",0,1)</f>
        <v>1</v>
      </c>
      <c r="B14" s="94"/>
      <c r="C14" s="122" t="str">
        <f>VLOOKUP($D$4,Hinweise!$G$4:$N$10,3,FALSE)</f>
        <v>BWR</v>
      </c>
      <c r="D14" s="31"/>
      <c r="E14" s="111"/>
      <c r="F14" s="13">
        <v>5</v>
      </c>
      <c r="G14" s="12"/>
      <c r="H14" s="39">
        <v>3</v>
      </c>
      <c r="I14" s="12"/>
      <c r="J14" s="13">
        <v>2</v>
      </c>
      <c r="K14" s="12"/>
      <c r="L14" s="14"/>
      <c r="M14" s="15"/>
      <c r="N14" s="123" t="str">
        <f>IF(ISBLANK(L14),"",IF(ISBLANK(M14),L14,IF((L14*2+M14)/3&lt;1,0,ROUND((L14*2+M14)/3,0))))</f>
        <v/>
      </c>
      <c r="O14" s="42" t="str">
        <f>IF(ISBLANK(L14),"",IF(AND(ISERROR(S14),ISERROR(T14)),"",IF(ISNUMBER(S14),ROUND(S14,0),ROUND(T14,0))))</f>
        <v/>
      </c>
      <c r="P14" s="1"/>
      <c r="Q14" s="1" t="str">
        <f t="shared" si="0"/>
        <v/>
      </c>
      <c r="R14" s="94">
        <f t="shared" si="5"/>
        <v>0</v>
      </c>
      <c r="S14" s="117" t="e">
        <f t="shared" ref="S14" si="11">IF((3*N14+SUM(V14:AB14))/(AD14+3)&lt;1,0,(3*N14+SUM(V14:AB14))/(AD14+3))</f>
        <v>#VALUE!</v>
      </c>
      <c r="T14" s="94">
        <f t="shared" si="6"/>
        <v>3.3333333333333335</v>
      </c>
      <c r="V14" s="193" t="str">
        <f t="shared" si="1"/>
        <v/>
      </c>
      <c r="W14" s="193"/>
      <c r="X14" s="193">
        <f t="shared" si="2"/>
        <v>5</v>
      </c>
      <c r="Y14" s="193"/>
      <c r="Z14" s="193">
        <f t="shared" si="3"/>
        <v>3</v>
      </c>
      <c r="AA14" s="193"/>
      <c r="AB14" s="193">
        <f t="shared" si="4"/>
        <v>2</v>
      </c>
      <c r="AC14" s="193"/>
      <c r="AD14" s="207">
        <f t="shared" si="7"/>
        <v>3</v>
      </c>
      <c r="AE14" s="207"/>
    </row>
    <row r="15" spans="1:31">
      <c r="A15" s="94">
        <f t="shared" ref="A15:A21" si="12">IF(C15="-",0,1)</f>
        <v>1</v>
      </c>
      <c r="B15" s="94"/>
      <c r="C15" s="124" t="str">
        <f>VLOOKUP($D$4,Hinweise!$G$4:$N$10,4,FALSE)</f>
        <v>VWL</v>
      </c>
      <c r="D15" s="32"/>
      <c r="E15" s="115"/>
      <c r="F15" s="8">
        <v>2</v>
      </c>
      <c r="G15" s="7"/>
      <c r="H15" s="33">
        <v>4</v>
      </c>
      <c r="I15" s="7"/>
      <c r="J15" s="8">
        <v>0</v>
      </c>
      <c r="K15" s="7"/>
      <c r="L15" s="10"/>
      <c r="M15" s="6"/>
      <c r="N15" s="46"/>
      <c r="O15" s="43">
        <f t="shared" si="9"/>
        <v>2</v>
      </c>
      <c r="P15" s="1"/>
      <c r="Q15" s="1">
        <f t="shared" si="0"/>
        <v>2</v>
      </c>
      <c r="R15" s="94">
        <f t="shared" si="5"/>
        <v>0</v>
      </c>
      <c r="S15" s="93">
        <f>IF(AVERAGE(V15:AB15)&lt;1,0,AVERAGE(V15:AB15))</f>
        <v>2</v>
      </c>
      <c r="T15" s="94">
        <f>IF(AVERAGE(D15:J15)&lt;1,0,AVERAGE(D15:J15))</f>
        <v>2</v>
      </c>
      <c r="V15" s="193" t="str">
        <f t="shared" si="1"/>
        <v/>
      </c>
      <c r="W15" s="193"/>
      <c r="X15" s="193">
        <f t="shared" si="2"/>
        <v>2</v>
      </c>
      <c r="Y15" s="193"/>
      <c r="Z15" s="193">
        <f t="shared" si="3"/>
        <v>4</v>
      </c>
      <c r="AA15" s="193"/>
      <c r="AB15" s="193">
        <f t="shared" si="4"/>
        <v>0</v>
      </c>
      <c r="AC15" s="193"/>
      <c r="AD15" s="207">
        <f t="shared" si="7"/>
        <v>3</v>
      </c>
      <c r="AE15" s="207">
        <f t="shared" si="10"/>
        <v>1</v>
      </c>
    </row>
    <row r="16" spans="1:31" hidden="1">
      <c r="A16" s="94">
        <f t="shared" si="12"/>
        <v>0</v>
      </c>
      <c r="B16" s="94"/>
      <c r="C16" s="124" t="str">
        <f>VLOOKUP($D$4,Hinweise!$G$4:$N$10,5,FALSE)</f>
        <v>-</v>
      </c>
      <c r="D16" s="32"/>
      <c r="E16" s="115"/>
      <c r="F16" s="125"/>
      <c r="G16" s="115"/>
      <c r="H16" s="33"/>
      <c r="I16" s="7"/>
      <c r="J16" s="8"/>
      <c r="K16" s="7"/>
      <c r="L16" s="10"/>
      <c r="M16" s="6"/>
      <c r="N16" s="46"/>
      <c r="O16" s="43" t="str">
        <f t="shared" si="9"/>
        <v/>
      </c>
      <c r="P16" s="1"/>
      <c r="Q16" s="1" t="str">
        <f t="shared" si="0"/>
        <v/>
      </c>
      <c r="R16" s="94">
        <f t="shared" si="5"/>
        <v>0</v>
      </c>
      <c r="S16" s="93" t="e">
        <f t="shared" ref="S16:S24" si="13">IF(AVERAGE(V16:AB16)&lt;1,0,AVERAGE(V16:AB16))</f>
        <v>#DIV/0!</v>
      </c>
      <c r="T16" s="94" t="e">
        <f t="shared" ref="T16:T24" si="14">IF(AVERAGE(D16:J16)&lt;1,0,AVERAGE(D16:J16))</f>
        <v>#DIV/0!</v>
      </c>
      <c r="V16" s="193" t="str">
        <f t="shared" si="1"/>
        <v/>
      </c>
      <c r="W16" s="193"/>
      <c r="X16" s="193" t="str">
        <f t="shared" si="2"/>
        <v/>
      </c>
      <c r="Y16" s="193"/>
      <c r="Z16" s="193" t="str">
        <f t="shared" si="3"/>
        <v/>
      </c>
      <c r="AA16" s="193"/>
      <c r="AB16" s="193" t="str">
        <f t="shared" si="4"/>
        <v/>
      </c>
      <c r="AC16" s="193"/>
      <c r="AD16" s="207">
        <f t="shared" si="7"/>
        <v>0</v>
      </c>
      <c r="AE16" s="207" t="str">
        <f t="shared" si="10"/>
        <v/>
      </c>
    </row>
    <row r="17" spans="1:31">
      <c r="A17" s="94">
        <f t="shared" si="12"/>
        <v>1</v>
      </c>
      <c r="B17" s="94"/>
      <c r="C17" s="124" t="str">
        <f>VLOOKUP($D$4,Hinweise!$G$4:$N$10,6,FALSE)</f>
        <v>Rechtslehre</v>
      </c>
      <c r="D17" s="33">
        <v>3</v>
      </c>
      <c r="E17" s="7"/>
      <c r="F17" s="8">
        <v>12</v>
      </c>
      <c r="G17" s="7"/>
      <c r="H17" s="4"/>
      <c r="I17" s="115"/>
      <c r="J17" s="3"/>
      <c r="K17" s="115"/>
      <c r="L17" s="10"/>
      <c r="M17" s="6"/>
      <c r="N17" s="46"/>
      <c r="O17" s="43">
        <f t="shared" si="9"/>
        <v>8</v>
      </c>
      <c r="P17" s="1"/>
      <c r="Q17" s="1">
        <f t="shared" si="0"/>
        <v>8</v>
      </c>
      <c r="R17" s="94">
        <f t="shared" si="5"/>
        <v>0</v>
      </c>
      <c r="S17" s="93">
        <f t="shared" si="13"/>
        <v>7.5</v>
      </c>
      <c r="T17" s="94">
        <f t="shared" si="14"/>
        <v>7.5</v>
      </c>
      <c r="V17" s="193">
        <f t="shared" si="1"/>
        <v>3</v>
      </c>
      <c r="W17" s="193"/>
      <c r="X17" s="193">
        <f t="shared" si="2"/>
        <v>12</v>
      </c>
      <c r="Y17" s="193"/>
      <c r="Z17" s="193" t="str">
        <f t="shared" si="3"/>
        <v/>
      </c>
      <c r="AA17" s="193"/>
      <c r="AB17" s="193" t="str">
        <f t="shared" si="4"/>
        <v/>
      </c>
      <c r="AC17" s="193"/>
      <c r="AD17" s="207">
        <f t="shared" si="7"/>
        <v>2</v>
      </c>
      <c r="AE17" s="207" t="str">
        <f t="shared" si="10"/>
        <v/>
      </c>
    </row>
    <row r="18" spans="1:31" hidden="1">
      <c r="A18" s="94">
        <f t="shared" si="12"/>
        <v>0</v>
      </c>
      <c r="B18" s="94"/>
      <c r="C18" s="124" t="str">
        <f>VLOOKUP($D$4,Hinweise!$G$4:$N$10,7,FALSE)</f>
        <v>-</v>
      </c>
      <c r="D18" s="126"/>
      <c r="E18" s="115"/>
      <c r="F18" s="8"/>
      <c r="G18" s="7"/>
      <c r="H18" s="33"/>
      <c r="I18" s="7"/>
      <c r="J18" s="8"/>
      <c r="K18" s="7"/>
      <c r="L18" s="10"/>
      <c r="M18" s="6"/>
      <c r="N18" s="46"/>
      <c r="O18" s="43" t="str">
        <f t="shared" si="9"/>
        <v/>
      </c>
      <c r="P18" s="1"/>
      <c r="Q18" s="1" t="str">
        <f t="shared" si="0"/>
        <v/>
      </c>
      <c r="R18" s="94">
        <f t="shared" si="5"/>
        <v>0</v>
      </c>
      <c r="S18" s="93" t="e">
        <f t="shared" si="13"/>
        <v>#DIV/0!</v>
      </c>
      <c r="T18" s="94" t="e">
        <f t="shared" si="14"/>
        <v>#DIV/0!</v>
      </c>
      <c r="V18" s="193" t="str">
        <f t="shared" si="1"/>
        <v/>
      </c>
      <c r="W18" s="193"/>
      <c r="X18" s="193" t="str">
        <f t="shared" si="2"/>
        <v/>
      </c>
      <c r="Y18" s="193"/>
      <c r="Z18" s="193" t="str">
        <f t="shared" si="3"/>
        <v/>
      </c>
      <c r="AA18" s="193"/>
      <c r="AB18" s="193" t="str">
        <f t="shared" si="4"/>
        <v/>
      </c>
      <c r="AC18" s="193"/>
      <c r="AD18" s="207">
        <f t="shared" si="7"/>
        <v>0</v>
      </c>
      <c r="AE18" s="207" t="str">
        <f t="shared" si="10"/>
        <v/>
      </c>
    </row>
    <row r="19" spans="1:31" hidden="1">
      <c r="A19" s="94">
        <f t="shared" si="12"/>
        <v>0</v>
      </c>
      <c r="B19" s="94"/>
      <c r="C19" s="124" t="str">
        <f>VLOOKUP($D$4,Hinweise!$G$4:$P$10,8,FALSE)</f>
        <v>-</v>
      </c>
      <c r="D19" s="32"/>
      <c r="E19" s="115"/>
      <c r="F19" s="8"/>
      <c r="G19" s="7"/>
      <c r="H19" s="33"/>
      <c r="I19" s="7"/>
      <c r="J19" s="8"/>
      <c r="K19" s="7"/>
      <c r="L19" s="10"/>
      <c r="M19" s="6"/>
      <c r="N19" s="46"/>
      <c r="O19" s="43" t="str">
        <f t="shared" si="9"/>
        <v/>
      </c>
      <c r="P19" s="1"/>
      <c r="Q19" s="1" t="str">
        <f t="shared" si="0"/>
        <v/>
      </c>
      <c r="R19" s="94">
        <f t="shared" si="5"/>
        <v>0</v>
      </c>
      <c r="S19" s="93" t="e">
        <f t="shared" si="13"/>
        <v>#DIV/0!</v>
      </c>
      <c r="T19" s="94" t="e">
        <f t="shared" si="14"/>
        <v>#DIV/0!</v>
      </c>
      <c r="V19" s="193" t="str">
        <f t="shared" si="1"/>
        <v/>
      </c>
      <c r="W19" s="193"/>
      <c r="X19" s="193" t="str">
        <f t="shared" si="2"/>
        <v/>
      </c>
      <c r="Y19" s="193"/>
      <c r="Z19" s="193" t="str">
        <f t="shared" si="3"/>
        <v/>
      </c>
      <c r="AA19" s="193"/>
      <c r="AB19" s="193" t="str">
        <f t="shared" si="4"/>
        <v/>
      </c>
      <c r="AC19" s="193"/>
      <c r="AD19" s="207">
        <f t="shared" si="7"/>
        <v>0</v>
      </c>
      <c r="AE19" s="207" t="str">
        <f t="shared" si="10"/>
        <v/>
      </c>
    </row>
    <row r="20" spans="1:31">
      <c r="A20" s="94">
        <f t="shared" si="12"/>
        <v>1</v>
      </c>
      <c r="B20" s="94"/>
      <c r="C20" s="124" t="str">
        <f>VLOOKUP($D$4,Hinweise!$G$4:$P$10,9,FALSE)</f>
        <v>Naturwissenschaften</v>
      </c>
      <c r="D20" s="32"/>
      <c r="E20" s="115"/>
      <c r="F20" s="2"/>
      <c r="G20" s="115"/>
      <c r="H20" s="33">
        <v>7</v>
      </c>
      <c r="I20" s="7"/>
      <c r="J20" s="8">
        <v>10</v>
      </c>
      <c r="K20" s="7"/>
      <c r="L20" s="10"/>
      <c r="M20" s="6"/>
      <c r="N20" s="46"/>
      <c r="O20" s="43">
        <f t="shared" si="9"/>
        <v>9</v>
      </c>
      <c r="P20" s="1"/>
      <c r="Q20" s="1">
        <f t="shared" si="0"/>
        <v>9</v>
      </c>
      <c r="R20" s="94">
        <f t="shared" si="5"/>
        <v>0</v>
      </c>
      <c r="S20" s="93">
        <f t="shared" si="13"/>
        <v>8.5</v>
      </c>
      <c r="T20" s="94">
        <f t="shared" si="14"/>
        <v>8.5</v>
      </c>
      <c r="V20" s="193" t="str">
        <f t="shared" si="1"/>
        <v/>
      </c>
      <c r="W20" s="193"/>
      <c r="X20" s="193" t="str">
        <f t="shared" si="2"/>
        <v/>
      </c>
      <c r="Y20" s="193"/>
      <c r="Z20" s="193">
        <f t="shared" si="3"/>
        <v>7</v>
      </c>
      <c r="AA20" s="193"/>
      <c r="AB20" s="193">
        <f t="shared" si="4"/>
        <v>10</v>
      </c>
      <c r="AC20" s="193"/>
      <c r="AD20" s="207">
        <f t="shared" si="7"/>
        <v>2</v>
      </c>
      <c r="AE20" s="207" t="str">
        <f t="shared" si="10"/>
        <v/>
      </c>
    </row>
    <row r="21" spans="1:31">
      <c r="A21" s="94">
        <f t="shared" si="12"/>
        <v>1</v>
      </c>
      <c r="B21" s="94"/>
      <c r="C21" s="127" t="str">
        <f>VLOOKUP($D$4,Hinweise!$G$4:$P$10,10,FALSE)</f>
        <v>Informatik</v>
      </c>
      <c r="D21" s="48"/>
      <c r="E21" s="128"/>
      <c r="F21" s="11"/>
      <c r="G21" s="128"/>
      <c r="H21" s="50">
        <v>4</v>
      </c>
      <c r="I21" s="49"/>
      <c r="J21" s="51">
        <v>2</v>
      </c>
      <c r="K21" s="49"/>
      <c r="L21" s="52"/>
      <c r="M21" s="53"/>
      <c r="N21" s="54"/>
      <c r="O21" s="55">
        <f t="shared" si="9"/>
        <v>3</v>
      </c>
      <c r="P21" s="1"/>
      <c r="Q21" s="1">
        <f t="shared" si="0"/>
        <v>3</v>
      </c>
      <c r="R21" s="94">
        <f t="shared" si="5"/>
        <v>0</v>
      </c>
      <c r="S21" s="93">
        <f t="shared" si="13"/>
        <v>3</v>
      </c>
      <c r="T21" s="94">
        <f t="shared" si="14"/>
        <v>3</v>
      </c>
      <c r="V21" s="193" t="str">
        <f t="shared" si="1"/>
        <v/>
      </c>
      <c r="W21" s="193"/>
      <c r="X21" s="193" t="str">
        <f t="shared" si="2"/>
        <v/>
      </c>
      <c r="Y21" s="193"/>
      <c r="Z21" s="193">
        <f t="shared" si="3"/>
        <v>4</v>
      </c>
      <c r="AA21" s="193"/>
      <c r="AB21" s="193">
        <f t="shared" si="4"/>
        <v>2</v>
      </c>
      <c r="AC21" s="193"/>
      <c r="AD21" s="207">
        <f t="shared" si="7"/>
        <v>2</v>
      </c>
      <c r="AE21" s="207">
        <f t="shared" si="10"/>
        <v>1</v>
      </c>
    </row>
    <row r="22" spans="1:31">
      <c r="A22" s="94">
        <f>IF(OR(C22="-",VLOOKUP(C22,Hinweise!$C$6:$D$37,2,FALSE)=0),0,1)</f>
        <v>1</v>
      </c>
      <c r="B22" s="94"/>
      <c r="C22" s="37" t="s">
        <v>27</v>
      </c>
      <c r="D22" s="35"/>
      <c r="E22" s="112"/>
      <c r="F22" s="24"/>
      <c r="G22" s="112"/>
      <c r="H22" s="41">
        <v>3</v>
      </c>
      <c r="I22" s="23"/>
      <c r="J22" s="25">
        <v>4</v>
      </c>
      <c r="K22" s="23"/>
      <c r="L22" s="26"/>
      <c r="M22" s="27"/>
      <c r="N22" s="45"/>
      <c r="O22" s="56">
        <f t="shared" si="9"/>
        <v>4</v>
      </c>
      <c r="P22" s="1"/>
      <c r="Q22" s="1">
        <f t="shared" si="0"/>
        <v>4</v>
      </c>
      <c r="R22" s="94">
        <f t="shared" si="5"/>
        <v>0</v>
      </c>
      <c r="S22" s="93">
        <f t="shared" si="13"/>
        <v>3.5</v>
      </c>
      <c r="T22" s="94">
        <f t="shared" si="14"/>
        <v>3.5</v>
      </c>
      <c r="V22" s="193" t="str">
        <f t="shared" si="1"/>
        <v/>
      </c>
      <c r="W22" s="193"/>
      <c r="X22" s="193" t="str">
        <f t="shared" si="2"/>
        <v/>
      </c>
      <c r="Y22" s="193"/>
      <c r="Z22" s="193">
        <f t="shared" si="3"/>
        <v>3</v>
      </c>
      <c r="AA22" s="193"/>
      <c r="AB22" s="193">
        <f t="shared" si="4"/>
        <v>4</v>
      </c>
      <c r="AC22" s="193"/>
      <c r="AD22" s="207">
        <f t="shared" si="7"/>
        <v>2</v>
      </c>
      <c r="AE22" s="207" t="str">
        <f t="shared" si="10"/>
        <v/>
      </c>
    </row>
    <row r="23" spans="1:31">
      <c r="A23" s="94">
        <f>IF(OR(C23="-",VLOOKUP(C23,Hinweise!$C$6:$D$37,2,FALSE)=0),0,1)</f>
        <v>0</v>
      </c>
      <c r="B23" s="94"/>
      <c r="C23" s="38" t="s">
        <v>131</v>
      </c>
      <c r="D23" s="32"/>
      <c r="E23" s="115"/>
      <c r="F23" s="2"/>
      <c r="G23" s="115"/>
      <c r="H23" s="33">
        <v>1</v>
      </c>
      <c r="I23" s="7"/>
      <c r="J23" s="8">
        <v>6</v>
      </c>
      <c r="K23" s="7"/>
      <c r="L23" s="10"/>
      <c r="M23" s="6"/>
      <c r="N23" s="46"/>
      <c r="O23" s="56">
        <f t="shared" si="9"/>
        <v>4</v>
      </c>
      <c r="P23" s="1"/>
      <c r="Q23" s="1" t="str">
        <f t="shared" si="0"/>
        <v/>
      </c>
      <c r="R23" s="94">
        <f t="shared" si="5"/>
        <v>0</v>
      </c>
      <c r="S23" s="93" t="e">
        <f t="shared" si="13"/>
        <v>#DIV/0!</v>
      </c>
      <c r="T23" s="94">
        <f t="shared" si="14"/>
        <v>3.5</v>
      </c>
      <c r="V23" s="193" t="str">
        <f t="shared" si="1"/>
        <v/>
      </c>
      <c r="W23" s="193"/>
      <c r="X23" s="193" t="str">
        <f t="shared" si="2"/>
        <v/>
      </c>
      <c r="Y23" s="193"/>
      <c r="Z23" s="193" t="str">
        <f t="shared" si="3"/>
        <v/>
      </c>
      <c r="AA23" s="193"/>
      <c r="AB23" s="193" t="str">
        <f t="shared" si="4"/>
        <v/>
      </c>
      <c r="AC23" s="193"/>
      <c r="AD23" s="207">
        <f t="shared" si="7"/>
        <v>0</v>
      </c>
      <c r="AE23" s="207" t="str">
        <f t="shared" si="10"/>
        <v/>
      </c>
    </row>
    <row r="24" spans="1:31">
      <c r="A24" s="94">
        <f>IF(OR(C24="-",VLOOKUP(C24,Hinweise!$C$6:$D$37,2,FALSE)=0),0,1)</f>
        <v>0</v>
      </c>
      <c r="B24" s="94"/>
      <c r="C24" s="57" t="s">
        <v>129</v>
      </c>
      <c r="D24" s="48"/>
      <c r="E24" s="128"/>
      <c r="F24" s="11"/>
      <c r="G24" s="128"/>
      <c r="H24" s="50"/>
      <c r="I24" s="49"/>
      <c r="J24" s="51"/>
      <c r="K24" s="58"/>
      <c r="L24" s="52"/>
      <c r="M24" s="53"/>
      <c r="N24" s="54"/>
      <c r="O24" s="56" t="str">
        <f t="shared" si="9"/>
        <v/>
      </c>
      <c r="P24" s="1"/>
      <c r="Q24" s="1" t="str">
        <f t="shared" si="0"/>
        <v/>
      </c>
      <c r="R24" s="94">
        <f t="shared" si="5"/>
        <v>0</v>
      </c>
      <c r="S24" s="93" t="e">
        <f t="shared" si="13"/>
        <v>#DIV/0!</v>
      </c>
      <c r="T24" s="94" t="e">
        <f t="shared" si="14"/>
        <v>#DIV/0!</v>
      </c>
      <c r="V24" s="193" t="str">
        <f t="shared" si="1"/>
        <v/>
      </c>
      <c r="W24" s="193"/>
      <c r="X24" s="193" t="str">
        <f t="shared" si="2"/>
        <v/>
      </c>
      <c r="Y24" s="193"/>
      <c r="Z24" s="193" t="str">
        <f t="shared" si="3"/>
        <v/>
      </c>
      <c r="AA24" s="193"/>
      <c r="AB24" s="193" t="str">
        <f t="shared" si="4"/>
        <v/>
      </c>
      <c r="AC24" s="193"/>
      <c r="AD24" s="207">
        <f t="shared" si="7"/>
        <v>0</v>
      </c>
      <c r="AE24" s="207" t="str">
        <f t="shared" si="10"/>
        <v/>
      </c>
    </row>
    <row r="25" spans="1:31">
      <c r="A25" s="94">
        <v>1</v>
      </c>
      <c r="B25" s="94"/>
      <c r="C25" s="110" t="s">
        <v>17</v>
      </c>
      <c r="D25" s="35"/>
      <c r="E25" s="59"/>
      <c r="F25" s="24"/>
      <c r="G25" s="59"/>
      <c r="H25" s="230">
        <v>4</v>
      </c>
      <c r="I25" s="230"/>
      <c r="J25" s="230"/>
      <c r="K25" s="230"/>
      <c r="L25" s="26"/>
      <c r="M25" s="27"/>
      <c r="N25" s="45"/>
      <c r="O25" s="56">
        <f>IF(H25="","",H25)</f>
        <v>4</v>
      </c>
      <c r="P25" s="1"/>
      <c r="Q25" s="1">
        <f t="shared" si="0"/>
        <v>4</v>
      </c>
      <c r="S25" s="93"/>
      <c r="T25" s="94" t="str">
        <f t="shared" ref="T25:T26" si="15">IF(A25=0,AVERAGE(D25:J25),"")</f>
        <v/>
      </c>
      <c r="V25" s="1"/>
      <c r="W25" s="1"/>
      <c r="X25" s="1"/>
      <c r="Y25" s="1"/>
      <c r="Z25" s="1"/>
      <c r="AA25" s="1"/>
      <c r="AB25" s="1"/>
      <c r="AC25" s="1"/>
      <c r="AD25" s="129">
        <f>SUM(AD7:AD24)</f>
        <v>29</v>
      </c>
      <c r="AE25" s="207" t="str">
        <f t="shared" si="10"/>
        <v/>
      </c>
    </row>
    <row r="26" spans="1:31">
      <c r="A26" s="94">
        <v>1</v>
      </c>
      <c r="B26" s="94"/>
      <c r="C26" s="119" t="s">
        <v>18</v>
      </c>
      <c r="D26" s="36">
        <v>5</v>
      </c>
      <c r="E26" s="28"/>
      <c r="F26" s="29">
        <v>7</v>
      </c>
      <c r="G26" s="28"/>
      <c r="H26" s="34"/>
      <c r="I26" s="30"/>
      <c r="J26" s="17"/>
      <c r="K26" s="131"/>
      <c r="L26" s="19"/>
      <c r="M26" s="20"/>
      <c r="N26" s="47"/>
      <c r="O26" s="44">
        <f>IF(ISERROR(S26),"",IF(S26&lt;1,0,ROUND(S26,0)))</f>
        <v>6</v>
      </c>
      <c r="P26" s="1"/>
      <c r="Q26" s="1">
        <f t="shared" si="0"/>
        <v>6</v>
      </c>
      <c r="S26" s="93">
        <f>AVERAGE(D26:F26)</f>
        <v>6</v>
      </c>
      <c r="T26" s="94" t="str">
        <f t="shared" si="15"/>
        <v/>
      </c>
      <c r="V26" s="1"/>
      <c r="W26" s="1"/>
      <c r="X26" s="1"/>
      <c r="Y26" s="1"/>
      <c r="Z26" s="1"/>
      <c r="AA26" s="1"/>
      <c r="AB26" s="1"/>
      <c r="AC26" s="1"/>
      <c r="AD26" s="130"/>
      <c r="AE26" s="207" t="str">
        <f t="shared" si="10"/>
        <v/>
      </c>
    </row>
    <row r="27" spans="1:31">
      <c r="C27" s="132" t="s">
        <v>159</v>
      </c>
      <c r="D27" s="231" t="s">
        <v>25</v>
      </c>
      <c r="E27" s="231"/>
      <c r="F27" s="231"/>
      <c r="G27" s="231"/>
      <c r="H27" s="231"/>
      <c r="I27" s="231"/>
      <c r="J27" s="231"/>
      <c r="K27" s="231"/>
    </row>
    <row r="28" spans="1:31">
      <c r="D28" s="232" t="str">
        <f>IF(AE5&gt;=3,"Zur Prüfung nicht zugelassen","")</f>
        <v/>
      </c>
      <c r="E28" s="232"/>
      <c r="F28" s="232"/>
      <c r="G28" s="232"/>
      <c r="H28" s="232"/>
      <c r="I28" s="232"/>
      <c r="J28" s="232"/>
      <c r="K28" s="232"/>
    </row>
    <row r="29" spans="1:31">
      <c r="C29" s="133" t="s">
        <v>156</v>
      </c>
      <c r="D29" s="233">
        <f>3*SUM(N8:N14)</f>
        <v>0</v>
      </c>
      <c r="E29" s="234"/>
      <c r="F29" s="233" t="s">
        <v>181</v>
      </c>
      <c r="G29" s="234"/>
      <c r="H29" s="204">
        <f>U46</f>
        <v>0</v>
      </c>
      <c r="J29" s="200"/>
      <c r="K29" s="201"/>
      <c r="L29" s="195" t="s">
        <v>168</v>
      </c>
      <c r="M29" s="195" t="s">
        <v>153</v>
      </c>
      <c r="N29" s="196" t="s">
        <v>169</v>
      </c>
      <c r="R29" s="108" t="s">
        <v>24</v>
      </c>
      <c r="S29" s="108" t="s">
        <v>172</v>
      </c>
      <c r="T29" s="108" t="s">
        <v>173</v>
      </c>
      <c r="U29" s="108" t="s">
        <v>174</v>
      </c>
    </row>
    <row r="30" spans="1:31">
      <c r="C30" s="99" t="s">
        <v>167</v>
      </c>
      <c r="D30" s="233">
        <f>SUM(V7:AC24)</f>
        <v>165</v>
      </c>
      <c r="E30" s="234"/>
      <c r="F30" s="233" t="s">
        <v>157</v>
      </c>
      <c r="G30" s="234"/>
      <c r="H30" s="192">
        <f>S46</f>
        <v>29</v>
      </c>
      <c r="J30" s="137" t="s">
        <v>104</v>
      </c>
      <c r="K30" s="138"/>
      <c r="L30" s="139">
        <f>S30</f>
        <v>1</v>
      </c>
      <c r="M30" s="139">
        <f>T30</f>
        <v>0</v>
      </c>
      <c r="N30" s="140">
        <f>U30</f>
        <v>0</v>
      </c>
      <c r="R30" s="193">
        <v>0</v>
      </c>
      <c r="S30" s="193">
        <f t="shared" ref="S30:S45" si="16">COUNTIF($V$7:$AC$24,R30)</f>
        <v>1</v>
      </c>
      <c r="T30" s="193">
        <f>COUNTIF($Q$7:$Q$26,R30)</f>
        <v>0</v>
      </c>
      <c r="U30" s="193">
        <f t="shared" ref="U30:U45" si="17">COUNTIF($N$8:$N$14,R30)</f>
        <v>0</v>
      </c>
    </row>
    <row r="31" spans="1:31">
      <c r="C31" s="133" t="s">
        <v>22</v>
      </c>
      <c r="D31" s="233">
        <f>H25</f>
        <v>4</v>
      </c>
      <c r="E31" s="234"/>
      <c r="F31" s="134"/>
      <c r="G31" s="135"/>
      <c r="H31" s="136"/>
      <c r="J31" s="137" t="s">
        <v>105</v>
      </c>
      <c r="K31" s="138"/>
      <c r="L31" s="139">
        <f t="shared" ref="L31:N35" si="18">S31</f>
        <v>0</v>
      </c>
      <c r="M31" s="139">
        <f t="shared" si="18"/>
        <v>0</v>
      </c>
      <c r="N31" s="140">
        <f t="shared" si="18"/>
        <v>0</v>
      </c>
      <c r="R31" s="193">
        <v>1</v>
      </c>
      <c r="S31" s="193">
        <f t="shared" si="16"/>
        <v>0</v>
      </c>
      <c r="T31" s="193">
        <f t="shared" ref="T31:T45" si="19">COUNTIF($Q$7:$Q$26,R31)</f>
        <v>0</v>
      </c>
      <c r="U31" s="193">
        <f t="shared" si="17"/>
        <v>0</v>
      </c>
    </row>
    <row r="32" spans="1:31">
      <c r="C32" s="133" t="s">
        <v>155</v>
      </c>
      <c r="D32" s="233">
        <f>D26+F26</f>
        <v>12</v>
      </c>
      <c r="E32" s="234"/>
      <c r="F32" s="134"/>
      <c r="G32" s="135"/>
      <c r="H32" s="136"/>
      <c r="J32" s="137" t="s">
        <v>106</v>
      </c>
      <c r="K32" s="138"/>
      <c r="L32" s="139">
        <f t="shared" si="18"/>
        <v>4</v>
      </c>
      <c r="M32" s="139">
        <f t="shared" si="18"/>
        <v>1</v>
      </c>
      <c r="N32" s="140">
        <f t="shared" si="18"/>
        <v>0</v>
      </c>
      <c r="R32" s="193">
        <v>2</v>
      </c>
      <c r="S32" s="193">
        <f t="shared" si="16"/>
        <v>4</v>
      </c>
      <c r="T32" s="193">
        <f t="shared" si="19"/>
        <v>1</v>
      </c>
      <c r="U32" s="193">
        <f t="shared" si="17"/>
        <v>0</v>
      </c>
    </row>
    <row r="33" spans="3:21">
      <c r="C33" s="141" t="s">
        <v>158</v>
      </c>
      <c r="D33" s="228">
        <f>SUM(D29:D32)</f>
        <v>181</v>
      </c>
      <c r="E33" s="229"/>
      <c r="F33" s="134"/>
      <c r="G33" s="135"/>
      <c r="H33" s="136"/>
      <c r="J33" s="137" t="s">
        <v>107</v>
      </c>
      <c r="K33" s="138"/>
      <c r="L33" s="139">
        <f t="shared" si="18"/>
        <v>4</v>
      </c>
      <c r="M33" s="139">
        <f t="shared" si="18"/>
        <v>1</v>
      </c>
      <c r="N33" s="140">
        <f t="shared" si="18"/>
        <v>0</v>
      </c>
      <c r="R33" s="193">
        <v>3</v>
      </c>
      <c r="S33" s="193">
        <f t="shared" si="16"/>
        <v>4</v>
      </c>
      <c r="T33" s="193">
        <f t="shared" si="19"/>
        <v>1</v>
      </c>
      <c r="U33" s="193">
        <f t="shared" si="17"/>
        <v>0</v>
      </c>
    </row>
    <row r="34" spans="3:21">
      <c r="C34" s="141" t="s">
        <v>23</v>
      </c>
      <c r="D34" s="235" t="str">
        <f>IF(D35="bestanden",INT(F34*10)/10,"")</f>
        <v/>
      </c>
      <c r="E34" s="236"/>
      <c r="F34" s="191">
        <f>17/3-5*D33/600</f>
        <v>4.1583333333333332</v>
      </c>
      <c r="G34" s="134"/>
      <c r="H34" s="136"/>
      <c r="J34" s="143" t="s">
        <v>149</v>
      </c>
      <c r="K34" s="144"/>
      <c r="L34" s="145">
        <f t="shared" si="18"/>
        <v>4</v>
      </c>
      <c r="M34" s="145">
        <f t="shared" si="18"/>
        <v>2</v>
      </c>
      <c r="N34" s="146">
        <f t="shared" si="18"/>
        <v>0</v>
      </c>
      <c r="R34" s="193">
        <v>4</v>
      </c>
      <c r="S34" s="193">
        <f t="shared" si="16"/>
        <v>4</v>
      </c>
      <c r="T34" s="193">
        <f t="shared" si="19"/>
        <v>2</v>
      </c>
      <c r="U34" s="193">
        <f t="shared" si="17"/>
        <v>0</v>
      </c>
    </row>
    <row r="35" spans="3:21">
      <c r="C35" s="141" t="s">
        <v>108</v>
      </c>
      <c r="D35" s="237" t="str">
        <f>IF(AND(E41=0,H30=25,U46=4),"bestanden","nicht bestanden")</f>
        <v>nicht bestanden</v>
      </c>
      <c r="E35" s="238"/>
      <c r="F35" s="228"/>
      <c r="G35" s="135"/>
      <c r="H35" s="136"/>
      <c r="J35" s="143" t="s">
        <v>150</v>
      </c>
      <c r="K35" s="144"/>
      <c r="L35" s="145">
        <f t="shared" si="18"/>
        <v>3</v>
      </c>
      <c r="M35" s="145">
        <f t="shared" si="18"/>
        <v>0</v>
      </c>
      <c r="N35" s="146">
        <f t="shared" si="18"/>
        <v>0</v>
      </c>
      <c r="R35" s="193">
        <v>5</v>
      </c>
      <c r="S35" s="193">
        <f t="shared" si="16"/>
        <v>3</v>
      </c>
      <c r="T35" s="193">
        <f t="shared" si="19"/>
        <v>0</v>
      </c>
      <c r="U35" s="193">
        <f t="shared" si="17"/>
        <v>0</v>
      </c>
    </row>
    <row r="36" spans="3:21">
      <c r="J36" s="228" t="s">
        <v>151</v>
      </c>
      <c r="K36" s="229"/>
      <c r="L36" s="190">
        <f>SUM(L30:L33)</f>
        <v>9</v>
      </c>
      <c r="M36" s="190">
        <f>SUM(M30:M33)</f>
        <v>2</v>
      </c>
      <c r="N36" s="192">
        <f>SUM(N30:N33)</f>
        <v>0</v>
      </c>
      <c r="R36" s="193">
        <v>6</v>
      </c>
      <c r="S36" s="193">
        <f t="shared" si="16"/>
        <v>1</v>
      </c>
      <c r="T36" s="193">
        <f t="shared" si="19"/>
        <v>1</v>
      </c>
      <c r="U36" s="193">
        <f t="shared" si="17"/>
        <v>0</v>
      </c>
    </row>
    <row r="37" spans="3:21">
      <c r="C37" s="149" t="s">
        <v>175</v>
      </c>
      <c r="D37" s="222"/>
      <c r="E37" s="223"/>
      <c r="F37" s="224"/>
      <c r="J37" s="202" t="s">
        <v>152</v>
      </c>
      <c r="K37" s="203"/>
      <c r="L37" s="199">
        <f>2*L30+L31+L32+L33</f>
        <v>10</v>
      </c>
      <c r="M37" s="199">
        <f>2*M30+M31+M32+M33</f>
        <v>2</v>
      </c>
      <c r="N37" s="89">
        <f>2*N30+N31+N32+N33</f>
        <v>0</v>
      </c>
      <c r="R37" s="193">
        <v>7</v>
      </c>
      <c r="S37" s="193">
        <f t="shared" si="16"/>
        <v>4</v>
      </c>
      <c r="T37" s="193">
        <f t="shared" si="19"/>
        <v>1</v>
      </c>
      <c r="U37" s="193">
        <f t="shared" si="17"/>
        <v>0</v>
      </c>
    </row>
    <row r="38" spans="3:21">
      <c r="C38" s="150" t="s">
        <v>170</v>
      </c>
      <c r="D38" s="225" t="str">
        <f>IF(AND(M37&lt;3,N37&lt;3,U46=4),"erfüllt","nicht erfüllt")</f>
        <v>nicht erfüllt</v>
      </c>
      <c r="E38" s="225"/>
      <c r="F38" s="225"/>
      <c r="J38" s="151"/>
      <c r="K38" s="151"/>
      <c r="L38" s="152"/>
      <c r="R38" s="193">
        <v>8</v>
      </c>
      <c r="S38" s="193">
        <f t="shared" si="16"/>
        <v>1</v>
      </c>
      <c r="T38" s="193">
        <f t="shared" si="19"/>
        <v>1</v>
      </c>
      <c r="U38" s="193">
        <f t="shared" si="17"/>
        <v>0</v>
      </c>
    </row>
    <row r="39" spans="3:21">
      <c r="C39" s="153" t="s">
        <v>177</v>
      </c>
      <c r="D39" s="226" t="str">
        <f>IF(M37&lt;&gt;1,"",IF(D33&lt;200,"nicht erfüllt","erfüllt"))</f>
        <v/>
      </c>
      <c r="E39" s="226"/>
      <c r="F39" s="226"/>
      <c r="J39" s="155"/>
      <c r="K39" s="155"/>
      <c r="R39" s="193">
        <v>9</v>
      </c>
      <c r="S39" s="193">
        <f t="shared" si="16"/>
        <v>2</v>
      </c>
      <c r="T39" s="193">
        <f t="shared" si="19"/>
        <v>2</v>
      </c>
      <c r="U39" s="193">
        <f t="shared" si="17"/>
        <v>0</v>
      </c>
    </row>
    <row r="40" spans="3:21">
      <c r="C40" s="153" t="s">
        <v>178</v>
      </c>
      <c r="D40" s="226" t="str">
        <f>IF(M37&lt;&gt;2,"",IF(D33&lt;240,"nicht erfüllt","erfüllt"))</f>
        <v>nicht erfüllt</v>
      </c>
      <c r="E40" s="226"/>
      <c r="F40" s="226"/>
      <c r="J40" s="155"/>
      <c r="K40" s="155"/>
      <c r="R40" s="193">
        <v>10</v>
      </c>
      <c r="S40" s="193">
        <f t="shared" si="16"/>
        <v>3</v>
      </c>
      <c r="T40" s="193">
        <f t="shared" si="19"/>
        <v>0</v>
      </c>
      <c r="U40" s="193">
        <f t="shared" si="17"/>
        <v>0</v>
      </c>
    </row>
    <row r="41" spans="3:21">
      <c r="E41" s="156">
        <f>COUNTIF(D38:F40,"nicht erfüllt")</f>
        <v>2</v>
      </c>
      <c r="J41" s="157"/>
      <c r="K41" s="157"/>
      <c r="L41" s="152"/>
      <c r="R41" s="193">
        <v>11</v>
      </c>
      <c r="S41" s="193">
        <f t="shared" si="16"/>
        <v>0</v>
      </c>
      <c r="T41" s="193">
        <f t="shared" si="19"/>
        <v>1</v>
      </c>
      <c r="U41" s="193">
        <f t="shared" si="17"/>
        <v>0</v>
      </c>
    </row>
    <row r="42" spans="3:21">
      <c r="C42" s="227" t="s">
        <v>160</v>
      </c>
      <c r="D42" s="227"/>
      <c r="E42" s="227"/>
      <c r="F42" s="227"/>
      <c r="G42" s="227"/>
      <c r="H42" s="227"/>
      <c r="I42" s="227"/>
      <c r="J42" s="227"/>
      <c r="K42" s="227"/>
      <c r="L42" s="227"/>
      <c r="M42" s="227"/>
      <c r="N42" s="227"/>
      <c r="O42" s="227"/>
      <c r="R42" s="193">
        <v>12</v>
      </c>
      <c r="S42" s="193">
        <f t="shared" si="16"/>
        <v>2</v>
      </c>
      <c r="T42" s="193">
        <f t="shared" si="19"/>
        <v>0</v>
      </c>
      <c r="U42" s="193">
        <f t="shared" si="17"/>
        <v>0</v>
      </c>
    </row>
    <row r="43" spans="3:21">
      <c r="C43" s="194"/>
      <c r="J43" s="157"/>
      <c r="K43" s="157"/>
      <c r="L43" s="152"/>
      <c r="R43" s="193">
        <v>13</v>
      </c>
      <c r="S43" s="193">
        <f t="shared" si="16"/>
        <v>0</v>
      </c>
      <c r="T43" s="193">
        <f t="shared" si="19"/>
        <v>0</v>
      </c>
      <c r="U43" s="193">
        <f t="shared" si="17"/>
        <v>0</v>
      </c>
    </row>
    <row r="44" spans="3:21">
      <c r="C44" s="194" t="s">
        <v>186</v>
      </c>
      <c r="J44" s="157"/>
      <c r="K44" s="157"/>
      <c r="L44" s="152"/>
      <c r="R44" s="193">
        <v>14</v>
      </c>
      <c r="S44" s="193">
        <f t="shared" si="16"/>
        <v>0</v>
      </c>
      <c r="T44" s="193">
        <f t="shared" si="19"/>
        <v>0</v>
      </c>
      <c r="U44" s="193">
        <f t="shared" si="17"/>
        <v>0</v>
      </c>
    </row>
    <row r="45" spans="3:21">
      <c r="C45" s="194" t="s">
        <v>165</v>
      </c>
      <c r="J45" s="157"/>
      <c r="K45" s="157"/>
      <c r="L45" s="152"/>
      <c r="R45" s="193">
        <v>15</v>
      </c>
      <c r="S45" s="193">
        <f t="shared" si="16"/>
        <v>0</v>
      </c>
      <c r="T45" s="193">
        <f t="shared" si="19"/>
        <v>0</v>
      </c>
      <c r="U45" s="193">
        <f t="shared" si="17"/>
        <v>0</v>
      </c>
    </row>
    <row r="46" spans="3:21">
      <c r="J46" s="155"/>
      <c r="K46" s="155"/>
      <c r="R46" s="193"/>
      <c r="S46" s="158">
        <f>SUM(S30:S45)</f>
        <v>29</v>
      </c>
      <c r="T46" s="158">
        <f>SUM(T30:T45)</f>
        <v>10</v>
      </c>
      <c r="U46" s="158">
        <f>SUM(U30:U45)</f>
        <v>0</v>
      </c>
    </row>
  </sheetData>
  <sheetProtection password="CD32" sheet="1" formatRows="0" selectLockedCells="1"/>
  <scenarios current="1" show="1">
    <scenario name="FOS12 nach Prüfung" locked="1" count="4" user="Benutzer" comment="Erstellt von Benutzer am 19.11.2018">
      <inputCells r="L8" val="4"/>
      <inputCells r="L9" val="5"/>
      <inputCells r="L10" val="8"/>
      <inputCells r="L14" val="3"/>
    </scenario>
    <scenario name="FOS12 vor Prüfung" locked="1" count="4" user="Benutzer" comment="Erstellt von Benutzer am 19.11.2018">
      <inputCells r="L8" val=""/>
      <inputCells r="L9" val=""/>
      <inputCells r="L10" val=""/>
      <inputCells r="L14" val=""/>
    </scenario>
  </scenarios>
  <mergeCells count="24">
    <mergeCell ref="D31:E31"/>
    <mergeCell ref="C2:D2"/>
    <mergeCell ref="I2:O2"/>
    <mergeCell ref="J3:N3"/>
    <mergeCell ref="D4:F4"/>
    <mergeCell ref="H4:O4"/>
    <mergeCell ref="D5:K5"/>
    <mergeCell ref="H25:K25"/>
    <mergeCell ref="D27:K27"/>
    <mergeCell ref="D29:E29"/>
    <mergeCell ref="D30:E30"/>
    <mergeCell ref="F30:G30"/>
    <mergeCell ref="F29:G29"/>
    <mergeCell ref="D28:K28"/>
    <mergeCell ref="D38:F38"/>
    <mergeCell ref="D39:F39"/>
    <mergeCell ref="D40:F40"/>
    <mergeCell ref="C42:O42"/>
    <mergeCell ref="D32:E32"/>
    <mergeCell ref="D33:E33"/>
    <mergeCell ref="D34:E34"/>
    <mergeCell ref="D35:F35"/>
    <mergeCell ref="J36:K36"/>
    <mergeCell ref="D37:F37"/>
  </mergeCells>
  <conditionalFormatting sqref="T2:T4">
    <cfRule type="cellIs" dxfId="160" priority="56" operator="greaterThan">
      <formula>1</formula>
    </cfRule>
  </conditionalFormatting>
  <conditionalFormatting sqref="H30">
    <cfRule type="cellIs" dxfId="159" priority="54" operator="notEqual">
      <formula>25</formula>
    </cfRule>
    <cfRule type="cellIs" dxfId="158" priority="55" operator="equal">
      <formula>25</formula>
    </cfRule>
  </conditionalFormatting>
  <conditionalFormatting sqref="D27">
    <cfRule type="expression" dxfId="157" priority="53">
      <formula>R5&gt;1</formula>
    </cfRule>
  </conditionalFormatting>
  <conditionalFormatting sqref="D35:F35">
    <cfRule type="containsText" dxfId="156" priority="51" operator="containsText" text="nicht bestanden">
      <formula>NOT(ISERROR(SEARCH("nicht bestanden",D35)))</formula>
    </cfRule>
    <cfRule type="containsText" dxfId="155" priority="52" operator="containsText" text="bestanden">
      <formula>NOT(ISERROR(SEARCH("bestanden",D35)))</formula>
    </cfRule>
  </conditionalFormatting>
  <conditionalFormatting sqref="D18">
    <cfRule type="expression" dxfId="154" priority="49">
      <formula>"G5=0"</formula>
    </cfRule>
    <cfRule type="expression" dxfId="153" priority="50">
      <formula>E18=1</formula>
    </cfRule>
  </conditionalFormatting>
  <conditionalFormatting sqref="F16">
    <cfRule type="expression" dxfId="152" priority="47">
      <formula>"G5=0"</formula>
    </cfRule>
    <cfRule type="expression" dxfId="151" priority="48">
      <formula>G16=1</formula>
    </cfRule>
  </conditionalFormatting>
  <conditionalFormatting sqref="H7">
    <cfRule type="expression" dxfId="150" priority="45">
      <formula>"&lt;&gt;istzahl(Z7)"</formula>
    </cfRule>
    <cfRule type="expression" dxfId="149" priority="46">
      <formula>ISNUMBER(Z7)</formula>
    </cfRule>
  </conditionalFormatting>
  <conditionalFormatting sqref="D11">
    <cfRule type="expression" dxfId="148" priority="43">
      <formula>"&lt;&gt;istzahl(Z7)"</formula>
    </cfRule>
    <cfRule type="expression" dxfId="147" priority="44">
      <formula>ISNUMBER(V11)</formula>
    </cfRule>
  </conditionalFormatting>
  <conditionalFormatting sqref="D17">
    <cfRule type="expression" dxfId="146" priority="41">
      <formula>"&lt;&gt;istzahl(Z7)"</formula>
    </cfRule>
    <cfRule type="expression" dxfId="145" priority="42">
      <formula>ISNUMBER(V17)</formula>
    </cfRule>
  </conditionalFormatting>
  <conditionalFormatting sqref="F8:F11">
    <cfRule type="expression" dxfId="144" priority="39">
      <formula>"&lt;&gt;istzahl(Z7)"</formula>
    </cfRule>
    <cfRule type="expression" dxfId="143" priority="40">
      <formula>ISNUMBER(X8)</formula>
    </cfRule>
  </conditionalFormatting>
  <conditionalFormatting sqref="F14:F15">
    <cfRule type="expression" dxfId="142" priority="37">
      <formula>"&lt;&gt;istzahl(Z7)"</formula>
    </cfRule>
    <cfRule type="expression" dxfId="141" priority="38">
      <formula>ISNUMBER(X14)</formula>
    </cfRule>
  </conditionalFormatting>
  <conditionalFormatting sqref="F17:F19">
    <cfRule type="expression" dxfId="140" priority="35">
      <formula>"&lt;&gt;istzahl(Z7)"</formula>
    </cfRule>
    <cfRule type="expression" dxfId="139" priority="36">
      <formula>ISNUMBER(X17)</formula>
    </cfRule>
  </conditionalFormatting>
  <conditionalFormatting sqref="H8:H10">
    <cfRule type="expression" dxfId="138" priority="33">
      <formula>"&lt;&gt;istzahl(Z7)"</formula>
    </cfRule>
    <cfRule type="expression" dxfId="137" priority="34">
      <formula>ISNUMBER(Z8)</formula>
    </cfRule>
  </conditionalFormatting>
  <conditionalFormatting sqref="H12:H13">
    <cfRule type="expression" dxfId="136" priority="31">
      <formula>"&lt;&gt;istzahl(Z7)"</formula>
    </cfRule>
    <cfRule type="expression" dxfId="135" priority="32">
      <formula>ISNUMBER(Z12)</formula>
    </cfRule>
  </conditionalFormatting>
  <conditionalFormatting sqref="H14:H16">
    <cfRule type="expression" dxfId="134" priority="29">
      <formula>"&lt;&gt;istzahl(Z7)"</formula>
    </cfRule>
    <cfRule type="expression" dxfId="133" priority="30">
      <formula>ISNUMBER(Z14)</formula>
    </cfRule>
  </conditionalFormatting>
  <conditionalFormatting sqref="H18:H24">
    <cfRule type="expression" dxfId="132" priority="27">
      <formula>"&lt;&gt;istzahl(Z7)"</formula>
    </cfRule>
    <cfRule type="expression" dxfId="131" priority="28">
      <formula>ISNUMBER(Z18)</formula>
    </cfRule>
  </conditionalFormatting>
  <conditionalFormatting sqref="J7">
    <cfRule type="expression" dxfId="130" priority="25">
      <formula>"&lt;&gt;istzahl(Z7)"</formula>
    </cfRule>
    <cfRule type="expression" dxfId="129" priority="26">
      <formula>ISNUMBER(AB7)</formula>
    </cfRule>
  </conditionalFormatting>
  <conditionalFormatting sqref="J8:J10">
    <cfRule type="expression" dxfId="128" priority="23">
      <formula>"&lt;&gt;istzahl(Z7)"</formula>
    </cfRule>
    <cfRule type="expression" dxfId="127" priority="24">
      <formula>ISNUMBER(AB8)</formula>
    </cfRule>
  </conditionalFormatting>
  <conditionalFormatting sqref="J12:J13">
    <cfRule type="expression" dxfId="126" priority="21">
      <formula>"&lt;&gt;istzahl(Z7)"</formula>
    </cfRule>
    <cfRule type="expression" dxfId="125" priority="22">
      <formula>ISNUMBER(AB12)</formula>
    </cfRule>
  </conditionalFormatting>
  <conditionalFormatting sqref="J14:J16">
    <cfRule type="expression" dxfId="124" priority="19">
      <formula>"&lt;&gt;istzahl(Z7)"</formula>
    </cfRule>
    <cfRule type="expression" dxfId="123" priority="20">
      <formula>ISNUMBER(AB14)</formula>
    </cfRule>
  </conditionalFormatting>
  <conditionalFormatting sqref="J18:J24">
    <cfRule type="expression" dxfId="122" priority="17">
      <formula>"&lt;&gt;istzahl(Z7)"</formula>
    </cfRule>
    <cfRule type="expression" dxfId="121" priority="18">
      <formula>ISNUMBER(AB18)</formula>
    </cfRule>
  </conditionalFormatting>
  <conditionalFormatting sqref="L8">
    <cfRule type="expression" dxfId="120" priority="16">
      <formula>ISNUMBER(L8)</formula>
    </cfRule>
  </conditionalFormatting>
  <conditionalFormatting sqref="L9:L10">
    <cfRule type="expression" dxfId="119" priority="15">
      <formula>ISNUMBER(L9)</formula>
    </cfRule>
  </conditionalFormatting>
  <conditionalFormatting sqref="M8:M10">
    <cfRule type="expression" dxfId="118" priority="14">
      <formula>ISNUMBER(M8)</formula>
    </cfRule>
  </conditionalFormatting>
  <conditionalFormatting sqref="L14">
    <cfRule type="expression" dxfId="117" priority="13">
      <formula>ISNUMBER(L14)</formula>
    </cfRule>
  </conditionalFormatting>
  <conditionalFormatting sqref="M14">
    <cfRule type="expression" dxfId="116" priority="12">
      <formula>ISNUMBER(M14)</formula>
    </cfRule>
  </conditionalFormatting>
  <conditionalFormatting sqref="D26">
    <cfRule type="expression" dxfId="115" priority="11">
      <formula>ISNUMBER(D26)</formula>
    </cfRule>
  </conditionalFormatting>
  <conditionalFormatting sqref="F26">
    <cfRule type="expression" dxfId="114" priority="10">
      <formula>ISNUMBER(F26)</formula>
    </cfRule>
  </conditionalFormatting>
  <conditionalFormatting sqref="H25:K25">
    <cfRule type="expression" dxfId="113" priority="9">
      <formula>ISNUMBER(H25)</formula>
    </cfRule>
  </conditionalFormatting>
  <conditionalFormatting sqref="H29">
    <cfRule type="expression" dxfId="112" priority="7">
      <formula>$H$29&lt;&gt;4</formula>
    </cfRule>
    <cfRule type="expression" dxfId="111" priority="8">
      <formula>$H$29=4</formula>
    </cfRule>
  </conditionalFormatting>
  <conditionalFormatting sqref="O23">
    <cfRule type="expression" dxfId="110" priority="4">
      <formula>$A$23=0</formula>
    </cfRule>
  </conditionalFormatting>
  <conditionalFormatting sqref="O22">
    <cfRule type="expression" dxfId="109" priority="3">
      <formula>$A$22=0</formula>
    </cfRule>
  </conditionalFormatting>
  <conditionalFormatting sqref="O24">
    <cfRule type="expression" dxfId="108" priority="2">
      <formula>$A$24=0</formula>
    </cfRule>
  </conditionalFormatting>
  <conditionalFormatting sqref="D28:K28">
    <cfRule type="containsText" dxfId="107" priority="1" operator="containsText" text="Zur Prüfung nicht zugelassen">
      <formula>NOT(ISERROR(SEARCH("Zur Prüfung nicht zugelassen",D28)))</formula>
    </cfRule>
  </conditionalFormatting>
  <dataValidations count="2">
    <dataValidation type="whole" allowBlank="1" showInputMessage="1" showErrorMessage="1" sqref="K26">
      <formula1>0</formula1>
      <formula2>1</formula2>
    </dataValidation>
    <dataValidation type="whole" allowBlank="1" showInputMessage="1" showErrorMessage="1" sqref="J7:J10 F26 L14:M14 D11 F14:F16 D18 H19:H25 F18:F20 D26 F8:F11 L8:M10 H7:H10 H12:H16 J12:J16 J19:J24">
      <formula1>0</formula1>
      <formula2>15</formula2>
    </dataValidation>
  </dataValidations>
  <pageMargins left="0.70866141732283472" right="0.70866141732283472" top="1.3779527559055118" bottom="0.78740157480314965" header="0.31496062992125984" footer="0.31496062992125984"/>
  <pageSetup paperSize="9" scale="97" orientation="portrait" r:id="rId1"/>
  <headerFooter>
    <oddHeader>&amp;L&amp;G&amp;R&amp;G</oddHeader>
  </headerFooter>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Hinweise!$K$18:$K$19</xm:f>
          </x14:formula1>
          <xm:sqref>I7:I24 E7:E24 G7:G24 K7:K24</xm:sqref>
        </x14:dataValidation>
        <x14:dataValidation type="list" allowBlank="1" showInputMessage="1" showErrorMessage="1">
          <x14:formula1>
            <xm:f>Hinweise!$G$4:$G$10</xm:f>
          </x14:formula1>
          <xm:sqref>D4</xm:sqref>
        </x14:dataValidation>
        <x14:dataValidation type="list" allowBlank="1" showInputMessage="1" showErrorMessage="1">
          <x14:formula1>
            <xm:f>Hinweise!$C$6:$C$37</xm:f>
          </x14:formula1>
          <xm:sqref>C22:C24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2:AI46"/>
  <sheetViews>
    <sheetView topLeftCell="B1" zoomScaleNormal="100" workbookViewId="0">
      <selection activeCell="I2" sqref="I2:O2"/>
    </sheetView>
  </sheetViews>
  <sheetFormatPr baseColWidth="10" defaultRowHeight="15.75"/>
  <cols>
    <col min="1" max="1" width="5.625" style="93" hidden="1" customWidth="1"/>
    <col min="2" max="2" width="3.5" style="93" customWidth="1"/>
    <col min="3" max="3" width="27.25" style="93" customWidth="1"/>
    <col min="4" max="4" width="5.75" style="93" customWidth="1"/>
    <col min="5" max="5" width="3.625" style="93" bestFit="1" customWidth="1"/>
    <col min="6" max="6" width="5.75" style="93" customWidth="1"/>
    <col min="7" max="7" width="3.625" style="93" bestFit="1" customWidth="1"/>
    <col min="8" max="8" width="5.75" style="93" customWidth="1"/>
    <col min="9" max="9" width="3.625" style="93" bestFit="1" customWidth="1"/>
    <col min="10" max="10" width="5.75" style="93" customWidth="1"/>
    <col min="11" max="11" width="3.625" style="93" bestFit="1" customWidth="1"/>
    <col min="12" max="14" width="4" style="93" customWidth="1"/>
    <col min="15" max="15" width="5.375" style="93" customWidth="1"/>
    <col min="16" max="17" width="5.375" style="93" hidden="1" customWidth="1"/>
    <col min="18" max="19" width="8.25" style="94" hidden="1" customWidth="1"/>
    <col min="20" max="21" width="11" style="94" hidden="1" customWidth="1"/>
    <col min="22" max="22" width="4.625" style="94" hidden="1" customWidth="1"/>
    <col min="23" max="23" width="9.25" style="94" hidden="1" customWidth="1"/>
    <col min="24" max="24" width="4.625" style="94" hidden="1" customWidth="1"/>
    <col min="25" max="25" width="9.25" style="94" hidden="1" customWidth="1"/>
    <col min="26" max="26" width="4.625" style="94" hidden="1" customWidth="1"/>
    <col min="27" max="27" width="9.25" style="94" hidden="1" customWidth="1"/>
    <col min="28" max="28" width="4.625" style="94" hidden="1" customWidth="1"/>
    <col min="29" max="29" width="9.25" style="94" hidden="1" customWidth="1"/>
    <col min="30" max="31" width="9" style="95" hidden="1" customWidth="1"/>
    <col min="32" max="32" width="7.5" style="93" hidden="1" customWidth="1"/>
    <col min="33" max="33" width="9.5" style="93" hidden="1" customWidth="1"/>
    <col min="34" max="34" width="9.875" style="94" bestFit="1" customWidth="1"/>
    <col min="35" max="35" width="9.5" style="94" bestFit="1" customWidth="1"/>
    <col min="36" max="16384" width="11" style="93"/>
  </cols>
  <sheetData>
    <row r="2" spans="1:31" ht="21">
      <c r="C2" s="240" t="s">
        <v>21</v>
      </c>
      <c r="D2" s="240"/>
      <c r="H2" s="93" t="s">
        <v>113</v>
      </c>
      <c r="I2" s="241" t="s">
        <v>187</v>
      </c>
      <c r="J2" s="241"/>
      <c r="K2" s="241"/>
      <c r="L2" s="241"/>
      <c r="M2" s="241"/>
      <c r="N2" s="241"/>
      <c r="O2" s="241"/>
    </row>
    <row r="3" spans="1:31" ht="15.75" customHeight="1">
      <c r="C3" s="96"/>
      <c r="D3" s="96"/>
      <c r="J3" s="242">
        <f ca="1">NOW()</f>
        <v>43522.649079166666</v>
      </c>
      <c r="K3" s="242"/>
      <c r="L3" s="242"/>
      <c r="M3" s="242"/>
      <c r="N3" s="242"/>
    </row>
    <row r="4" spans="1:31" ht="15.75" customHeight="1">
      <c r="C4" s="97" t="s">
        <v>161</v>
      </c>
      <c r="D4" s="243" t="s">
        <v>117</v>
      </c>
      <c r="E4" s="244"/>
      <c r="F4" s="245"/>
      <c r="G4" s="98"/>
      <c r="H4" s="246" t="s">
        <v>160</v>
      </c>
      <c r="I4" s="247"/>
      <c r="J4" s="247"/>
      <c r="K4" s="247"/>
      <c r="L4" s="247"/>
      <c r="M4" s="247"/>
      <c r="N4" s="247"/>
      <c r="O4" s="247"/>
    </row>
    <row r="5" spans="1:31">
      <c r="D5" s="239" t="s">
        <v>166</v>
      </c>
      <c r="E5" s="239"/>
      <c r="F5" s="239"/>
      <c r="G5" s="239"/>
      <c r="H5" s="239"/>
      <c r="I5" s="239"/>
      <c r="J5" s="239"/>
      <c r="K5" s="239"/>
      <c r="R5" s="94">
        <f>MAX(R7:R24)</f>
        <v>1</v>
      </c>
      <c r="AE5" s="208">
        <f>SUM(AE7:AE26)</f>
        <v>0</v>
      </c>
    </row>
    <row r="6" spans="1:31">
      <c r="A6" s="93" t="s">
        <v>115</v>
      </c>
      <c r="C6" s="99"/>
      <c r="D6" s="100" t="s">
        <v>0</v>
      </c>
      <c r="E6" s="101" t="s">
        <v>136</v>
      </c>
      <c r="F6" s="100" t="s">
        <v>1</v>
      </c>
      <c r="G6" s="101" t="s">
        <v>136</v>
      </c>
      <c r="H6" s="100" t="s">
        <v>2</v>
      </c>
      <c r="I6" s="101" t="s">
        <v>136</v>
      </c>
      <c r="J6" s="100" t="s">
        <v>3</v>
      </c>
      <c r="K6" s="101" t="s">
        <v>136</v>
      </c>
      <c r="L6" s="100" t="s">
        <v>19</v>
      </c>
      <c r="M6" s="102" t="s">
        <v>20</v>
      </c>
      <c r="N6" s="103" t="s">
        <v>169</v>
      </c>
      <c r="O6" s="104" t="s">
        <v>153</v>
      </c>
      <c r="P6" s="105"/>
      <c r="Q6" s="106" t="s">
        <v>154</v>
      </c>
      <c r="R6" s="105" t="s">
        <v>148</v>
      </c>
      <c r="S6" s="105" t="s">
        <v>153</v>
      </c>
      <c r="T6" s="105"/>
      <c r="V6" s="107" t="s">
        <v>0</v>
      </c>
      <c r="W6" s="108" t="s">
        <v>109</v>
      </c>
      <c r="X6" s="107" t="s">
        <v>1</v>
      </c>
      <c r="Y6" s="108" t="s">
        <v>110</v>
      </c>
      <c r="Z6" s="107" t="s">
        <v>2</v>
      </c>
      <c r="AA6" s="108" t="s">
        <v>111</v>
      </c>
      <c r="AB6" s="107" t="s">
        <v>3</v>
      </c>
      <c r="AC6" s="108" t="s">
        <v>112</v>
      </c>
      <c r="AD6" s="109" t="s">
        <v>147</v>
      </c>
      <c r="AE6" s="206" t="s">
        <v>184</v>
      </c>
    </row>
    <row r="7" spans="1:31">
      <c r="A7" s="94">
        <v>1</v>
      </c>
      <c r="B7" s="94"/>
      <c r="C7" s="110" t="s">
        <v>4</v>
      </c>
      <c r="D7" s="31"/>
      <c r="E7" s="111"/>
      <c r="F7" s="24"/>
      <c r="G7" s="112"/>
      <c r="H7" s="39">
        <v>14</v>
      </c>
      <c r="I7" s="12"/>
      <c r="J7" s="13">
        <v>15</v>
      </c>
      <c r="K7" s="23"/>
      <c r="L7" s="21"/>
      <c r="M7" s="22"/>
      <c r="N7" s="45"/>
      <c r="O7" s="42">
        <f>IF(AND(ISERROR(S7),ISERROR(T7)),"",IF(ISNUMBER(S7),ROUND(S7,0),ROUND(T7,0)))</f>
        <v>15</v>
      </c>
      <c r="P7" s="1"/>
      <c r="Q7" s="1">
        <f t="shared" ref="Q7:Q26" si="0">IF(A7=1,O7,"")</f>
        <v>15</v>
      </c>
      <c r="R7" s="94">
        <f>COUNTIF(D7:K7,"x")</f>
        <v>0</v>
      </c>
      <c r="S7" s="93">
        <f>IF(AVERAGE(V7:AB7)&lt;1,0,AVERAGE(V7:AB7))</f>
        <v>14.5</v>
      </c>
      <c r="T7" s="94">
        <f>IF(AVERAGE(D7:J7)&lt;1,0,AVERAGE(D7:J7))</f>
        <v>14.5</v>
      </c>
      <c r="V7" s="221" t="str">
        <f t="shared" ref="V7:V24" si="1">IF(AND(ISNUMBER(D7),E7="",$A7=1),D7,"")</f>
        <v/>
      </c>
      <c r="W7" s="221"/>
      <c r="X7" s="221" t="str">
        <f t="shared" ref="X7:X24" si="2">IF(AND(ISNUMBER(F7),G7="",$A7=1),F7,"")</f>
        <v/>
      </c>
      <c r="Y7" s="221"/>
      <c r="Z7" s="221">
        <f t="shared" ref="Z7:Z24" si="3">IF(AND(ISNUMBER(H7),I7="",$A7=1),H7,"")</f>
        <v>14</v>
      </c>
      <c r="AA7" s="221"/>
      <c r="AB7" s="221">
        <f t="shared" ref="AB7:AB24" si="4">IF(AND(ISNUMBER(J7),K7="",$A7=1),J7,"")</f>
        <v>15</v>
      </c>
      <c r="AC7" s="221"/>
      <c r="AD7" s="207">
        <f>COUNT(V7:AB7)</f>
        <v>2</v>
      </c>
      <c r="AE7" s="207" t="str">
        <f>IF(Q7&lt;4,IF(Q7=0,2,1),"")</f>
        <v/>
      </c>
    </row>
    <row r="8" spans="1:31">
      <c r="A8" s="94">
        <v>1</v>
      </c>
      <c r="B8" s="94"/>
      <c r="C8" s="114" t="s">
        <v>5</v>
      </c>
      <c r="D8" s="32"/>
      <c r="E8" s="115"/>
      <c r="F8" s="8">
        <v>4</v>
      </c>
      <c r="G8" s="7"/>
      <c r="H8" s="33">
        <v>9</v>
      </c>
      <c r="I8" s="7"/>
      <c r="J8" s="8">
        <v>10</v>
      </c>
      <c r="K8" s="7"/>
      <c r="L8" s="9">
        <v>7</v>
      </c>
      <c r="M8" s="5"/>
      <c r="N8" s="116">
        <f>IF(ISBLANK(L8),"",IF(ISBLANK(M8),L8,IF((L8*2+M8)/3&lt;1,0,ROUND((L8*2+M8)/3,0))))</f>
        <v>7</v>
      </c>
      <c r="O8" s="43">
        <f>IF(ISBLANK(L8),"",IF(AND(ISERROR(S8),ISERROR(T8)),"",IF(ISNUMBER(S8),ROUND(S8,0),ROUND(T8,0))))</f>
        <v>7</v>
      </c>
      <c r="P8" s="1"/>
      <c r="Q8" s="1">
        <f t="shared" si="0"/>
        <v>7</v>
      </c>
      <c r="R8" s="94">
        <f t="shared" ref="R8:R24" si="5">COUNTIF(D8:K8,"x")</f>
        <v>0</v>
      </c>
      <c r="S8" s="117">
        <f>IF((3*N8+SUM(V8:AB8))/(AD8+3)&lt;1,0,(3*N8+SUM(V8:AB8))/(AD8+3))</f>
        <v>7.333333333333333</v>
      </c>
      <c r="T8" s="94">
        <f t="shared" ref="T8:T14" si="6">AVERAGE(D8:J8)</f>
        <v>7.666666666666667</v>
      </c>
      <c r="V8" s="221" t="str">
        <f t="shared" si="1"/>
        <v/>
      </c>
      <c r="W8" s="221"/>
      <c r="X8" s="221">
        <f t="shared" si="2"/>
        <v>4</v>
      </c>
      <c r="Y8" s="221"/>
      <c r="Z8" s="221">
        <f t="shared" si="3"/>
        <v>9</v>
      </c>
      <c r="AA8" s="221"/>
      <c r="AB8" s="221">
        <f t="shared" si="4"/>
        <v>10</v>
      </c>
      <c r="AC8" s="221"/>
      <c r="AD8" s="207">
        <f t="shared" ref="AD8:AD24" si="7">COUNT(V8:AB8)</f>
        <v>3</v>
      </c>
      <c r="AE8" s="207"/>
    </row>
    <row r="9" spans="1:31">
      <c r="A9" s="94">
        <v>1</v>
      </c>
      <c r="B9" s="94"/>
      <c r="C9" s="114" t="s">
        <v>6</v>
      </c>
      <c r="D9" s="32"/>
      <c r="E9" s="115"/>
      <c r="F9" s="8">
        <v>3</v>
      </c>
      <c r="G9" s="7"/>
      <c r="H9" s="33">
        <v>1</v>
      </c>
      <c r="I9" s="7"/>
      <c r="J9" s="8">
        <v>4</v>
      </c>
      <c r="K9" s="7"/>
      <c r="L9" s="9">
        <v>4</v>
      </c>
      <c r="M9" s="5">
        <v>4</v>
      </c>
      <c r="N9" s="116">
        <f>IF(ISBLANK(L9),"",IF(ISBLANK(M9),L9,IF((L9*2+M9)/3&lt;1,0,ROUND((L9*2+M9)/3,0))))</f>
        <v>4</v>
      </c>
      <c r="O9" s="43">
        <f>IF(ISBLANK(L9),"",IF(AND(ISERROR(S9),ISERROR(T9)),"",IF(ISNUMBER(S9),ROUND(S9,0),ROUND(T9,0))))</f>
        <v>3</v>
      </c>
      <c r="P9" s="1"/>
      <c r="Q9" s="1">
        <f t="shared" si="0"/>
        <v>3</v>
      </c>
      <c r="R9" s="94">
        <f t="shared" si="5"/>
        <v>0</v>
      </c>
      <c r="S9" s="117">
        <f t="shared" ref="S9:S10" si="8">IF((3*N9+SUM(V9:AB9))/(AD9+3)&lt;1,0,(3*N9+SUM(V9:AB9))/(AD9+3))</f>
        <v>3.3333333333333335</v>
      </c>
      <c r="T9" s="94">
        <f t="shared" si="6"/>
        <v>2.6666666666666665</v>
      </c>
      <c r="V9" s="221" t="str">
        <f t="shared" si="1"/>
        <v/>
      </c>
      <c r="W9" s="221"/>
      <c r="X9" s="221">
        <f t="shared" si="2"/>
        <v>3</v>
      </c>
      <c r="Y9" s="221"/>
      <c r="Z9" s="221">
        <f t="shared" si="3"/>
        <v>1</v>
      </c>
      <c r="AA9" s="221"/>
      <c r="AB9" s="221">
        <f t="shared" si="4"/>
        <v>4</v>
      </c>
      <c r="AC9" s="221"/>
      <c r="AD9" s="207">
        <f t="shared" si="7"/>
        <v>3</v>
      </c>
      <c r="AE9" s="207"/>
    </row>
    <row r="10" spans="1:31">
      <c r="A10" s="94">
        <v>1</v>
      </c>
      <c r="B10" s="94"/>
      <c r="C10" s="114" t="s">
        <v>9</v>
      </c>
      <c r="D10" s="32"/>
      <c r="E10" s="115"/>
      <c r="F10" s="8">
        <v>5</v>
      </c>
      <c r="G10" s="7"/>
      <c r="H10" s="33">
        <v>7</v>
      </c>
      <c r="I10" s="7"/>
      <c r="J10" s="8">
        <v>3</v>
      </c>
      <c r="K10" s="7"/>
      <c r="L10" s="9">
        <v>5</v>
      </c>
      <c r="M10" s="5"/>
      <c r="N10" s="116">
        <f>IF(ISBLANK(L10),"",IF(ISBLANK(M10),L10,IF((L10*2+M10)/3&lt;1,0,ROUND((L10*2+M10)/3,0))))</f>
        <v>5</v>
      </c>
      <c r="O10" s="43">
        <f>IF(ISBLANK(L10),"",IF(AND(ISERROR(S10),ISERROR(T10)),"",IF(ISNUMBER(S10),ROUND(S10,0),ROUND(T10,0))))</f>
        <v>5</v>
      </c>
      <c r="P10" s="1"/>
      <c r="Q10" s="1">
        <f t="shared" si="0"/>
        <v>5</v>
      </c>
      <c r="R10" s="94">
        <f t="shared" si="5"/>
        <v>0</v>
      </c>
      <c r="S10" s="117">
        <f t="shared" si="8"/>
        <v>5</v>
      </c>
      <c r="T10" s="94">
        <f t="shared" si="6"/>
        <v>5</v>
      </c>
      <c r="V10" s="221" t="str">
        <f t="shared" si="1"/>
        <v/>
      </c>
      <c r="W10" s="221"/>
      <c r="X10" s="221">
        <f t="shared" si="2"/>
        <v>5</v>
      </c>
      <c r="Y10" s="221"/>
      <c r="Z10" s="221">
        <f t="shared" si="3"/>
        <v>7</v>
      </c>
      <c r="AA10" s="221"/>
      <c r="AB10" s="221">
        <f t="shared" si="4"/>
        <v>3</v>
      </c>
      <c r="AC10" s="221"/>
      <c r="AD10" s="207">
        <f t="shared" si="7"/>
        <v>3</v>
      </c>
      <c r="AE10" s="207"/>
    </row>
    <row r="11" spans="1:31">
      <c r="A11" s="94">
        <v>1</v>
      </c>
      <c r="B11" s="94"/>
      <c r="C11" s="114" t="s">
        <v>7</v>
      </c>
      <c r="D11" s="33">
        <v>3</v>
      </c>
      <c r="E11" s="7"/>
      <c r="F11" s="8">
        <v>4</v>
      </c>
      <c r="G11" s="7"/>
      <c r="H11" s="32"/>
      <c r="I11" s="115"/>
      <c r="J11" s="2"/>
      <c r="K11" s="115"/>
      <c r="L11" s="10"/>
      <c r="M11" s="6"/>
      <c r="N11" s="118"/>
      <c r="O11" s="43">
        <f t="shared" ref="O11:O24" si="9">IF(AND(ISERROR(S11),ISERROR(T11)),"",IF(ISNUMBER(S11),ROUND(S11,0),ROUND(T11,0)))</f>
        <v>4</v>
      </c>
      <c r="P11" s="1"/>
      <c r="Q11" s="1">
        <f t="shared" si="0"/>
        <v>4</v>
      </c>
      <c r="R11" s="94">
        <f t="shared" si="5"/>
        <v>0</v>
      </c>
      <c r="S11" s="93">
        <f>IF(AVERAGE(V11:AB11)&lt;1,0,AVERAGE(V11:AB11))</f>
        <v>3.5</v>
      </c>
      <c r="T11" s="94">
        <f>IF(AVERAGE(D11:J11)&lt;1,0,AVERAGE(D11:J11))</f>
        <v>3.5</v>
      </c>
      <c r="V11" s="221">
        <f t="shared" si="1"/>
        <v>3</v>
      </c>
      <c r="W11" s="221"/>
      <c r="X11" s="221">
        <f t="shared" si="2"/>
        <v>4</v>
      </c>
      <c r="Y11" s="221"/>
      <c r="Z11" s="221" t="str">
        <f t="shared" si="3"/>
        <v/>
      </c>
      <c r="AA11" s="221"/>
      <c r="AB11" s="221" t="str">
        <f t="shared" si="4"/>
        <v/>
      </c>
      <c r="AC11" s="221"/>
      <c r="AD11" s="207">
        <f t="shared" si="7"/>
        <v>2</v>
      </c>
      <c r="AE11" s="207" t="str">
        <f t="shared" ref="AE11:AE26" si="10">IF(Q11&lt;4,IF(Q11=0,2,1),"")</f>
        <v/>
      </c>
    </row>
    <row r="12" spans="1:31">
      <c r="A12" s="94">
        <v>1</v>
      </c>
      <c r="B12" s="94"/>
      <c r="C12" s="114" t="s">
        <v>8</v>
      </c>
      <c r="D12" s="32"/>
      <c r="E12" s="115"/>
      <c r="F12" s="2"/>
      <c r="G12" s="115"/>
      <c r="H12" s="33">
        <v>12</v>
      </c>
      <c r="I12" s="7"/>
      <c r="J12" s="8">
        <v>9</v>
      </c>
      <c r="K12" s="7"/>
      <c r="L12" s="10"/>
      <c r="M12" s="6"/>
      <c r="N12" s="118"/>
      <c r="O12" s="43">
        <f t="shared" si="9"/>
        <v>11</v>
      </c>
      <c r="P12" s="1"/>
      <c r="Q12" s="1">
        <f t="shared" si="0"/>
        <v>11</v>
      </c>
      <c r="R12" s="94">
        <f t="shared" si="5"/>
        <v>0</v>
      </c>
      <c r="S12" s="93">
        <f>IF(AVERAGE(V12:AB12)&lt;1,0,AVERAGE(V12:AB12))</f>
        <v>10.5</v>
      </c>
      <c r="T12" s="94">
        <f>IF(AVERAGE(D12:J12)&lt;1,0,AVERAGE(D12:J12))</f>
        <v>10.5</v>
      </c>
      <c r="V12" s="221" t="str">
        <f t="shared" si="1"/>
        <v/>
      </c>
      <c r="W12" s="221"/>
      <c r="X12" s="221" t="str">
        <f t="shared" si="2"/>
        <v/>
      </c>
      <c r="Y12" s="221"/>
      <c r="Z12" s="221">
        <f t="shared" si="3"/>
        <v>12</v>
      </c>
      <c r="AA12" s="221"/>
      <c r="AB12" s="221">
        <f t="shared" si="4"/>
        <v>9</v>
      </c>
      <c r="AC12" s="221"/>
      <c r="AD12" s="207">
        <f t="shared" si="7"/>
        <v>2</v>
      </c>
      <c r="AE12" s="207" t="str">
        <f t="shared" si="10"/>
        <v/>
      </c>
    </row>
    <row r="13" spans="1:31">
      <c r="A13" s="94">
        <v>0</v>
      </c>
      <c r="B13" s="94"/>
      <c r="C13" s="119" t="s">
        <v>130</v>
      </c>
      <c r="D13" s="34"/>
      <c r="E13" s="120"/>
      <c r="F13" s="17"/>
      <c r="G13" s="120"/>
      <c r="H13" s="40">
        <v>10</v>
      </c>
      <c r="I13" s="16"/>
      <c r="J13" s="18">
        <v>6</v>
      </c>
      <c r="K13" s="16"/>
      <c r="L13" s="19"/>
      <c r="M13" s="20"/>
      <c r="N13" s="121"/>
      <c r="O13" s="205">
        <f t="shared" si="9"/>
        <v>8</v>
      </c>
      <c r="P13" s="1"/>
      <c r="Q13" s="1" t="str">
        <f t="shared" si="0"/>
        <v/>
      </c>
      <c r="R13" s="94">
        <f t="shared" si="5"/>
        <v>0</v>
      </c>
      <c r="S13" s="93" t="e">
        <f>IF(AVERAGE(V13:AB13)&lt;1,0,AVERAGE(V13:AB13))</f>
        <v>#DIV/0!</v>
      </c>
      <c r="T13" s="94">
        <f>IF(AVERAGE(D13:J13)&lt;1,0,AVERAGE(D13:J13))</f>
        <v>8</v>
      </c>
      <c r="V13" s="221" t="str">
        <f t="shared" si="1"/>
        <v/>
      </c>
      <c r="W13" s="221"/>
      <c r="X13" s="221" t="str">
        <f t="shared" si="2"/>
        <v/>
      </c>
      <c r="Y13" s="221"/>
      <c r="Z13" s="221" t="str">
        <f t="shared" si="3"/>
        <v/>
      </c>
      <c r="AA13" s="221"/>
      <c r="AB13" s="221" t="str">
        <f t="shared" si="4"/>
        <v/>
      </c>
      <c r="AC13" s="221"/>
      <c r="AD13" s="207">
        <f t="shared" si="7"/>
        <v>0</v>
      </c>
      <c r="AE13" s="207" t="str">
        <f t="shared" si="10"/>
        <v/>
      </c>
    </row>
    <row r="14" spans="1:31">
      <c r="A14" s="94">
        <f>IF(C14="-",0,1)</f>
        <v>1</v>
      </c>
      <c r="B14" s="94"/>
      <c r="C14" s="122" t="str">
        <f>VLOOKUP($D$4,Hinweise!$G$4:$N$10,3,FALSE)</f>
        <v>Physik</v>
      </c>
      <c r="D14" s="31"/>
      <c r="E14" s="111"/>
      <c r="F14" s="13">
        <v>5</v>
      </c>
      <c r="G14" s="12"/>
      <c r="H14" s="39">
        <v>3</v>
      </c>
      <c r="I14" s="12"/>
      <c r="J14" s="13">
        <v>1</v>
      </c>
      <c r="K14" s="12" t="s">
        <v>136</v>
      </c>
      <c r="L14" s="14">
        <v>3</v>
      </c>
      <c r="M14" s="15"/>
      <c r="N14" s="123">
        <f>IF(ISBLANK(L14),"",IF(ISBLANK(M14),L14,IF((L14*2+M14)/3&lt;1,0,ROUND((L14*2+M14)/3,0))))</f>
        <v>3</v>
      </c>
      <c r="O14" s="42">
        <f>IF(ISBLANK(L14),"",IF(AND(ISERROR(S14),ISERROR(T14)),"",IF(ISNUMBER(S14),ROUND(S14,0),ROUND(T14,0))))</f>
        <v>3</v>
      </c>
      <c r="P14" s="1"/>
      <c r="Q14" s="1">
        <f t="shared" si="0"/>
        <v>3</v>
      </c>
      <c r="R14" s="94">
        <f t="shared" si="5"/>
        <v>1</v>
      </c>
      <c r="S14" s="117">
        <f t="shared" ref="S14" si="11">IF((3*N14+SUM(V14:AB14))/(AD14+3)&lt;1,0,(3*N14+SUM(V14:AB14))/(AD14+3))</f>
        <v>3.4</v>
      </c>
      <c r="T14" s="94">
        <f t="shared" si="6"/>
        <v>3</v>
      </c>
      <c r="V14" s="221" t="str">
        <f t="shared" si="1"/>
        <v/>
      </c>
      <c r="W14" s="221"/>
      <c r="X14" s="221">
        <f t="shared" si="2"/>
        <v>5</v>
      </c>
      <c r="Y14" s="221"/>
      <c r="Z14" s="221">
        <f t="shared" si="3"/>
        <v>3</v>
      </c>
      <c r="AA14" s="221"/>
      <c r="AB14" s="221" t="str">
        <f t="shared" si="4"/>
        <v/>
      </c>
      <c r="AC14" s="221"/>
      <c r="AD14" s="207">
        <f t="shared" si="7"/>
        <v>2</v>
      </c>
      <c r="AE14" s="207"/>
    </row>
    <row r="15" spans="1:31">
      <c r="A15" s="94">
        <f t="shared" ref="A15:A21" si="12">IF(C15="-",0,1)</f>
        <v>1</v>
      </c>
      <c r="B15" s="94"/>
      <c r="C15" s="124" t="str">
        <f>VLOOKUP($D$4,Hinweise!$G$4:$N$10,4,FALSE)</f>
        <v>Technologie</v>
      </c>
      <c r="D15" s="32"/>
      <c r="E15" s="115"/>
      <c r="F15" s="8">
        <v>3</v>
      </c>
      <c r="G15" s="7"/>
      <c r="H15" s="33">
        <v>1</v>
      </c>
      <c r="I15" s="7" t="s">
        <v>136</v>
      </c>
      <c r="J15" s="8">
        <v>4</v>
      </c>
      <c r="K15" s="7"/>
      <c r="L15" s="10"/>
      <c r="M15" s="6"/>
      <c r="N15" s="46"/>
      <c r="O15" s="43">
        <f t="shared" si="9"/>
        <v>4</v>
      </c>
      <c r="P15" s="1"/>
      <c r="Q15" s="1">
        <f t="shared" si="0"/>
        <v>4</v>
      </c>
      <c r="R15" s="94">
        <f t="shared" si="5"/>
        <v>1</v>
      </c>
      <c r="S15" s="93">
        <f>IF(AVERAGE(V15:AB15)&lt;1,0,AVERAGE(V15:AB15))</f>
        <v>3.5</v>
      </c>
      <c r="T15" s="94">
        <f>IF(AVERAGE(D15:J15)&lt;1,0,AVERAGE(D15:J15))</f>
        <v>2.6666666666666665</v>
      </c>
      <c r="V15" s="221" t="str">
        <f t="shared" si="1"/>
        <v/>
      </c>
      <c r="W15" s="221"/>
      <c r="X15" s="221">
        <f t="shared" si="2"/>
        <v>3</v>
      </c>
      <c r="Y15" s="221"/>
      <c r="Z15" s="221" t="str">
        <f t="shared" si="3"/>
        <v/>
      </c>
      <c r="AA15" s="221"/>
      <c r="AB15" s="221">
        <f t="shared" si="4"/>
        <v>4</v>
      </c>
      <c r="AC15" s="221"/>
      <c r="AD15" s="207">
        <f t="shared" si="7"/>
        <v>2</v>
      </c>
      <c r="AE15" s="207" t="str">
        <f t="shared" si="10"/>
        <v/>
      </c>
    </row>
    <row r="16" spans="1:31" hidden="1">
      <c r="A16" s="94">
        <f t="shared" si="12"/>
        <v>0</v>
      </c>
      <c r="B16" s="94"/>
      <c r="C16" s="124" t="str">
        <f>VLOOKUP($D$4,Hinweise!$G$4:$N$10,5,FALSE)</f>
        <v>-</v>
      </c>
      <c r="D16" s="32"/>
      <c r="E16" s="115"/>
      <c r="F16" s="125"/>
      <c r="G16" s="115"/>
      <c r="H16" s="33"/>
      <c r="I16" s="7"/>
      <c r="J16" s="8"/>
      <c r="K16" s="7"/>
      <c r="L16" s="10"/>
      <c r="M16" s="6"/>
      <c r="N16" s="46"/>
      <c r="O16" s="43" t="str">
        <f t="shared" si="9"/>
        <v/>
      </c>
      <c r="P16" s="1"/>
      <c r="Q16" s="1" t="str">
        <f t="shared" si="0"/>
        <v/>
      </c>
      <c r="R16" s="94">
        <f t="shared" si="5"/>
        <v>0</v>
      </c>
      <c r="S16" s="93" t="e">
        <f t="shared" ref="S16:S24" si="13">IF(AVERAGE(V16:AB16)&lt;1,0,AVERAGE(V16:AB16))</f>
        <v>#DIV/0!</v>
      </c>
      <c r="T16" s="94" t="e">
        <f t="shared" ref="T16:T24" si="14">IF(AVERAGE(D16:J16)&lt;1,0,AVERAGE(D16:J16))</f>
        <v>#DIV/0!</v>
      </c>
      <c r="V16" s="221" t="str">
        <f t="shared" si="1"/>
        <v/>
      </c>
      <c r="W16" s="221"/>
      <c r="X16" s="221" t="str">
        <f t="shared" si="2"/>
        <v/>
      </c>
      <c r="Y16" s="221"/>
      <c r="Z16" s="221" t="str">
        <f t="shared" si="3"/>
        <v/>
      </c>
      <c r="AA16" s="221"/>
      <c r="AB16" s="221" t="str">
        <f t="shared" si="4"/>
        <v/>
      </c>
      <c r="AC16" s="221"/>
      <c r="AD16" s="207">
        <f t="shared" si="7"/>
        <v>0</v>
      </c>
      <c r="AE16" s="207" t="str">
        <f t="shared" si="10"/>
        <v/>
      </c>
    </row>
    <row r="17" spans="1:31" hidden="1">
      <c r="A17" s="94">
        <f t="shared" si="12"/>
        <v>0</v>
      </c>
      <c r="B17" s="94"/>
      <c r="C17" s="124" t="str">
        <f>VLOOKUP($D$4,Hinweise!$G$4:$N$10,6,FALSE)</f>
        <v>-</v>
      </c>
      <c r="D17" s="33"/>
      <c r="E17" s="7"/>
      <c r="F17" s="8"/>
      <c r="G17" s="7"/>
      <c r="H17" s="4"/>
      <c r="I17" s="115"/>
      <c r="J17" s="3"/>
      <c r="K17" s="115"/>
      <c r="L17" s="10"/>
      <c r="M17" s="6"/>
      <c r="N17" s="46"/>
      <c r="O17" s="43" t="str">
        <f t="shared" si="9"/>
        <v/>
      </c>
      <c r="P17" s="1"/>
      <c r="Q17" s="1" t="str">
        <f t="shared" si="0"/>
        <v/>
      </c>
      <c r="R17" s="94">
        <f t="shared" si="5"/>
        <v>0</v>
      </c>
      <c r="S17" s="93" t="e">
        <f t="shared" si="13"/>
        <v>#DIV/0!</v>
      </c>
      <c r="T17" s="94" t="e">
        <f t="shared" si="14"/>
        <v>#DIV/0!</v>
      </c>
      <c r="V17" s="221" t="str">
        <f t="shared" si="1"/>
        <v/>
      </c>
      <c r="W17" s="221"/>
      <c r="X17" s="221" t="str">
        <f t="shared" si="2"/>
        <v/>
      </c>
      <c r="Y17" s="221"/>
      <c r="Z17" s="221" t="str">
        <f t="shared" si="3"/>
        <v/>
      </c>
      <c r="AA17" s="221"/>
      <c r="AB17" s="221" t="str">
        <f t="shared" si="4"/>
        <v/>
      </c>
      <c r="AC17" s="221"/>
      <c r="AD17" s="207">
        <f t="shared" si="7"/>
        <v>0</v>
      </c>
      <c r="AE17" s="207" t="str">
        <f t="shared" si="10"/>
        <v/>
      </c>
    </row>
    <row r="18" spans="1:31">
      <c r="A18" s="94">
        <f t="shared" si="12"/>
        <v>1</v>
      </c>
      <c r="B18" s="94"/>
      <c r="C18" s="124" t="str">
        <f>VLOOKUP($D$4,Hinweise!$G$4:$N$10,7,FALSE)</f>
        <v>Chemie</v>
      </c>
      <c r="D18" s="126"/>
      <c r="E18" s="115"/>
      <c r="F18" s="8">
        <v>4</v>
      </c>
      <c r="G18" s="7"/>
      <c r="H18" s="33">
        <v>4</v>
      </c>
      <c r="I18" s="7"/>
      <c r="J18" s="8">
        <v>5</v>
      </c>
      <c r="K18" s="7"/>
      <c r="L18" s="10"/>
      <c r="M18" s="6"/>
      <c r="N18" s="46"/>
      <c r="O18" s="43">
        <f t="shared" si="9"/>
        <v>4</v>
      </c>
      <c r="P18" s="1"/>
      <c r="Q18" s="1">
        <f t="shared" si="0"/>
        <v>4</v>
      </c>
      <c r="R18" s="94">
        <f t="shared" si="5"/>
        <v>0</v>
      </c>
      <c r="S18" s="93">
        <f t="shared" si="13"/>
        <v>4.333333333333333</v>
      </c>
      <c r="T18" s="94">
        <f t="shared" si="14"/>
        <v>4.333333333333333</v>
      </c>
      <c r="V18" s="221" t="str">
        <f t="shared" si="1"/>
        <v/>
      </c>
      <c r="W18" s="221"/>
      <c r="X18" s="221">
        <f t="shared" si="2"/>
        <v>4</v>
      </c>
      <c r="Y18" s="221"/>
      <c r="Z18" s="221">
        <f t="shared" si="3"/>
        <v>4</v>
      </c>
      <c r="AA18" s="221"/>
      <c r="AB18" s="221">
        <f t="shared" si="4"/>
        <v>5</v>
      </c>
      <c r="AC18" s="221"/>
      <c r="AD18" s="207">
        <f t="shared" si="7"/>
        <v>3</v>
      </c>
      <c r="AE18" s="207" t="str">
        <f t="shared" si="10"/>
        <v/>
      </c>
    </row>
    <row r="19" spans="1:31" hidden="1">
      <c r="A19" s="94">
        <f t="shared" si="12"/>
        <v>0</v>
      </c>
      <c r="B19" s="94"/>
      <c r="C19" s="124" t="str">
        <f>VLOOKUP($D$4,Hinweise!$G$4:$P$10,8,FALSE)</f>
        <v>-</v>
      </c>
      <c r="D19" s="32"/>
      <c r="E19" s="115"/>
      <c r="F19" s="8"/>
      <c r="G19" s="7"/>
      <c r="H19" s="33"/>
      <c r="I19" s="7"/>
      <c r="J19" s="8"/>
      <c r="K19" s="7"/>
      <c r="L19" s="10"/>
      <c r="M19" s="6"/>
      <c r="N19" s="46"/>
      <c r="O19" s="43" t="str">
        <f t="shared" si="9"/>
        <v/>
      </c>
      <c r="P19" s="1"/>
      <c r="Q19" s="1" t="str">
        <f t="shared" si="0"/>
        <v/>
      </c>
      <c r="R19" s="94">
        <f t="shared" si="5"/>
        <v>0</v>
      </c>
      <c r="S19" s="93" t="e">
        <f t="shared" si="13"/>
        <v>#DIV/0!</v>
      </c>
      <c r="T19" s="94" t="e">
        <f t="shared" si="14"/>
        <v>#DIV/0!</v>
      </c>
      <c r="V19" s="221" t="str">
        <f t="shared" si="1"/>
        <v/>
      </c>
      <c r="W19" s="221"/>
      <c r="X19" s="221" t="str">
        <f t="shared" si="2"/>
        <v/>
      </c>
      <c r="Y19" s="221"/>
      <c r="Z19" s="221" t="str">
        <f t="shared" si="3"/>
        <v/>
      </c>
      <c r="AA19" s="221"/>
      <c r="AB19" s="221" t="str">
        <f t="shared" si="4"/>
        <v/>
      </c>
      <c r="AC19" s="221"/>
      <c r="AD19" s="207">
        <f t="shared" si="7"/>
        <v>0</v>
      </c>
      <c r="AE19" s="207" t="str">
        <f t="shared" si="10"/>
        <v/>
      </c>
    </row>
    <row r="20" spans="1:31">
      <c r="A20" s="94">
        <f t="shared" si="12"/>
        <v>1</v>
      </c>
      <c r="B20" s="94"/>
      <c r="C20" s="124" t="str">
        <f>VLOOKUP($D$4,Hinweise!$G$4:$P$10,9,FALSE)</f>
        <v>Mathe Additum</v>
      </c>
      <c r="D20" s="32"/>
      <c r="E20" s="115"/>
      <c r="F20" s="2"/>
      <c r="G20" s="115"/>
      <c r="H20" s="33">
        <v>7</v>
      </c>
      <c r="I20" s="7"/>
      <c r="J20" s="8">
        <v>6</v>
      </c>
      <c r="K20" s="7"/>
      <c r="L20" s="10"/>
      <c r="M20" s="6"/>
      <c r="N20" s="46"/>
      <c r="O20" s="43">
        <f t="shared" si="9"/>
        <v>7</v>
      </c>
      <c r="P20" s="1"/>
      <c r="Q20" s="1">
        <f t="shared" si="0"/>
        <v>7</v>
      </c>
      <c r="R20" s="94">
        <f t="shared" si="5"/>
        <v>0</v>
      </c>
      <c r="S20" s="93">
        <f t="shared" si="13"/>
        <v>6.5</v>
      </c>
      <c r="T20" s="94">
        <f t="shared" si="14"/>
        <v>6.5</v>
      </c>
      <c r="V20" s="221" t="str">
        <f t="shared" si="1"/>
        <v/>
      </c>
      <c r="W20" s="221"/>
      <c r="X20" s="221" t="str">
        <f t="shared" si="2"/>
        <v/>
      </c>
      <c r="Y20" s="221"/>
      <c r="Z20" s="221">
        <f t="shared" si="3"/>
        <v>7</v>
      </c>
      <c r="AA20" s="221"/>
      <c r="AB20" s="221">
        <f t="shared" si="4"/>
        <v>6</v>
      </c>
      <c r="AC20" s="221"/>
      <c r="AD20" s="207">
        <f t="shared" si="7"/>
        <v>2</v>
      </c>
      <c r="AE20" s="207" t="str">
        <f t="shared" si="10"/>
        <v/>
      </c>
    </row>
    <row r="21" spans="1:31" hidden="1">
      <c r="A21" s="94">
        <f t="shared" si="12"/>
        <v>0</v>
      </c>
      <c r="B21" s="94"/>
      <c r="C21" s="127" t="str">
        <f>VLOOKUP($D$4,Hinweise!$G$4:$P$10,10,FALSE)</f>
        <v>-</v>
      </c>
      <c r="D21" s="48"/>
      <c r="E21" s="128"/>
      <c r="F21" s="11"/>
      <c r="G21" s="128"/>
      <c r="H21" s="50"/>
      <c r="I21" s="49"/>
      <c r="J21" s="51"/>
      <c r="K21" s="49"/>
      <c r="L21" s="52"/>
      <c r="M21" s="53"/>
      <c r="N21" s="54"/>
      <c r="O21" s="55" t="str">
        <f t="shared" si="9"/>
        <v/>
      </c>
      <c r="P21" s="1"/>
      <c r="Q21" s="1" t="str">
        <f t="shared" si="0"/>
        <v/>
      </c>
      <c r="R21" s="94">
        <f t="shared" si="5"/>
        <v>0</v>
      </c>
      <c r="S21" s="93" t="e">
        <f t="shared" si="13"/>
        <v>#DIV/0!</v>
      </c>
      <c r="T21" s="94" t="e">
        <f t="shared" si="14"/>
        <v>#DIV/0!</v>
      </c>
      <c r="V21" s="221" t="str">
        <f t="shared" si="1"/>
        <v/>
      </c>
      <c r="W21" s="221"/>
      <c r="X21" s="221" t="str">
        <f t="shared" si="2"/>
        <v/>
      </c>
      <c r="Y21" s="221"/>
      <c r="Z21" s="221" t="str">
        <f t="shared" si="3"/>
        <v/>
      </c>
      <c r="AA21" s="221"/>
      <c r="AB21" s="221" t="str">
        <f t="shared" si="4"/>
        <v/>
      </c>
      <c r="AC21" s="221"/>
      <c r="AD21" s="207">
        <f t="shared" si="7"/>
        <v>0</v>
      </c>
      <c r="AE21" s="207" t="str">
        <f t="shared" si="10"/>
        <v/>
      </c>
    </row>
    <row r="22" spans="1:31">
      <c r="A22" s="94">
        <f>IF(OR(C22="-",VLOOKUP(C22,Hinweise!$C$6:$D$37,2,FALSE)=0),0,1)</f>
        <v>1</v>
      </c>
      <c r="B22" s="94"/>
      <c r="C22" s="37" t="s">
        <v>27</v>
      </c>
      <c r="D22" s="35"/>
      <c r="E22" s="112"/>
      <c r="F22" s="24"/>
      <c r="G22" s="112"/>
      <c r="H22" s="41">
        <v>8</v>
      </c>
      <c r="I22" s="23"/>
      <c r="J22" s="25">
        <v>1</v>
      </c>
      <c r="K22" s="23" t="s">
        <v>136</v>
      </c>
      <c r="L22" s="26"/>
      <c r="M22" s="27"/>
      <c r="N22" s="45"/>
      <c r="O22" s="56">
        <f t="shared" si="9"/>
        <v>8</v>
      </c>
      <c r="P22" s="1"/>
      <c r="Q22" s="1">
        <f t="shared" si="0"/>
        <v>8</v>
      </c>
      <c r="R22" s="94">
        <f t="shared" si="5"/>
        <v>1</v>
      </c>
      <c r="S22" s="93">
        <f t="shared" si="13"/>
        <v>8</v>
      </c>
      <c r="T22" s="94">
        <f t="shared" si="14"/>
        <v>4.5</v>
      </c>
      <c r="V22" s="221" t="str">
        <f t="shared" si="1"/>
        <v/>
      </c>
      <c r="W22" s="221"/>
      <c r="X22" s="221" t="str">
        <f t="shared" si="2"/>
        <v/>
      </c>
      <c r="Y22" s="221"/>
      <c r="Z22" s="221">
        <f t="shared" si="3"/>
        <v>8</v>
      </c>
      <c r="AA22" s="221"/>
      <c r="AB22" s="221" t="str">
        <f t="shared" si="4"/>
        <v/>
      </c>
      <c r="AC22" s="221"/>
      <c r="AD22" s="207">
        <f t="shared" si="7"/>
        <v>1</v>
      </c>
      <c r="AE22" s="207" t="str">
        <f t="shared" si="10"/>
        <v/>
      </c>
    </row>
    <row r="23" spans="1:31">
      <c r="A23" s="94">
        <f>IF(OR(C23="-",VLOOKUP(C23,Hinweise!$C$6:$D$37,2,FALSE)=0),0,1)</f>
        <v>0</v>
      </c>
      <c r="B23" s="94"/>
      <c r="C23" s="38" t="s">
        <v>131</v>
      </c>
      <c r="D23" s="32"/>
      <c r="E23" s="115"/>
      <c r="F23" s="2"/>
      <c r="G23" s="115"/>
      <c r="H23" s="33">
        <v>12</v>
      </c>
      <c r="I23" s="7"/>
      <c r="J23" s="8">
        <v>6</v>
      </c>
      <c r="K23" s="7"/>
      <c r="L23" s="10"/>
      <c r="M23" s="6"/>
      <c r="N23" s="46"/>
      <c r="O23" s="56">
        <f t="shared" si="9"/>
        <v>9</v>
      </c>
      <c r="P23" s="1"/>
      <c r="Q23" s="1" t="str">
        <f t="shared" si="0"/>
        <v/>
      </c>
      <c r="R23" s="94">
        <f t="shared" si="5"/>
        <v>0</v>
      </c>
      <c r="S23" s="93" t="e">
        <f t="shared" si="13"/>
        <v>#DIV/0!</v>
      </c>
      <c r="T23" s="94">
        <f t="shared" si="14"/>
        <v>9</v>
      </c>
      <c r="V23" s="221" t="str">
        <f t="shared" si="1"/>
        <v/>
      </c>
      <c r="W23" s="221"/>
      <c r="X23" s="221" t="str">
        <f t="shared" si="2"/>
        <v/>
      </c>
      <c r="Y23" s="221"/>
      <c r="Z23" s="221" t="str">
        <f t="shared" si="3"/>
        <v/>
      </c>
      <c r="AA23" s="221"/>
      <c r="AB23" s="221" t="str">
        <f t="shared" si="4"/>
        <v/>
      </c>
      <c r="AC23" s="221"/>
      <c r="AD23" s="207">
        <f t="shared" si="7"/>
        <v>0</v>
      </c>
      <c r="AE23" s="207" t="str">
        <f t="shared" si="10"/>
        <v/>
      </c>
    </row>
    <row r="24" spans="1:31">
      <c r="A24" s="94">
        <f>IF(OR(C24="-",VLOOKUP(C24,Hinweise!$C$6:$D$37,2,FALSE)=0),0,1)</f>
        <v>0</v>
      </c>
      <c r="B24" s="94"/>
      <c r="C24" s="57" t="s">
        <v>129</v>
      </c>
      <c r="D24" s="48"/>
      <c r="E24" s="128"/>
      <c r="F24" s="11"/>
      <c r="G24" s="128"/>
      <c r="H24" s="50"/>
      <c r="I24" s="49"/>
      <c r="J24" s="51"/>
      <c r="K24" s="58"/>
      <c r="L24" s="52"/>
      <c r="M24" s="53"/>
      <c r="N24" s="54"/>
      <c r="O24" s="56" t="str">
        <f t="shared" si="9"/>
        <v/>
      </c>
      <c r="P24" s="1"/>
      <c r="Q24" s="1" t="str">
        <f t="shared" si="0"/>
        <v/>
      </c>
      <c r="R24" s="94">
        <f t="shared" si="5"/>
        <v>0</v>
      </c>
      <c r="S24" s="93" t="e">
        <f t="shared" si="13"/>
        <v>#DIV/0!</v>
      </c>
      <c r="T24" s="94" t="e">
        <f t="shared" si="14"/>
        <v>#DIV/0!</v>
      </c>
      <c r="V24" s="221" t="str">
        <f t="shared" si="1"/>
        <v/>
      </c>
      <c r="W24" s="221"/>
      <c r="X24" s="221" t="str">
        <f t="shared" si="2"/>
        <v/>
      </c>
      <c r="Y24" s="221"/>
      <c r="Z24" s="221" t="str">
        <f t="shared" si="3"/>
        <v/>
      </c>
      <c r="AA24" s="221"/>
      <c r="AB24" s="221" t="str">
        <f t="shared" si="4"/>
        <v/>
      </c>
      <c r="AC24" s="221"/>
      <c r="AD24" s="207">
        <f t="shared" si="7"/>
        <v>0</v>
      </c>
      <c r="AE24" s="207" t="str">
        <f t="shared" si="10"/>
        <v/>
      </c>
    </row>
    <row r="25" spans="1:31">
      <c r="A25" s="94">
        <v>1</v>
      </c>
      <c r="B25" s="94"/>
      <c r="C25" s="110" t="s">
        <v>17</v>
      </c>
      <c r="D25" s="35"/>
      <c r="E25" s="59"/>
      <c r="F25" s="24"/>
      <c r="G25" s="59"/>
      <c r="H25" s="230">
        <v>5</v>
      </c>
      <c r="I25" s="230"/>
      <c r="J25" s="230"/>
      <c r="K25" s="230"/>
      <c r="L25" s="26"/>
      <c r="M25" s="27"/>
      <c r="N25" s="45"/>
      <c r="O25" s="56">
        <f>IF(H25="","",H25)</f>
        <v>5</v>
      </c>
      <c r="P25" s="1"/>
      <c r="Q25" s="1">
        <f t="shared" si="0"/>
        <v>5</v>
      </c>
      <c r="S25" s="93"/>
      <c r="T25" s="94" t="str">
        <f t="shared" ref="T25:T26" si="15">IF(A25=0,AVERAGE(D25:J25),"")</f>
        <v/>
      </c>
      <c r="V25" s="1"/>
      <c r="W25" s="1"/>
      <c r="X25" s="1"/>
      <c r="Y25" s="1"/>
      <c r="Z25" s="1"/>
      <c r="AA25" s="1"/>
      <c r="AB25" s="1"/>
      <c r="AC25" s="1"/>
      <c r="AD25" s="129">
        <f>SUM(AD7:AD24)</f>
        <v>25</v>
      </c>
      <c r="AE25" s="207" t="str">
        <f t="shared" si="10"/>
        <v/>
      </c>
    </row>
    <row r="26" spans="1:31">
      <c r="A26" s="94">
        <v>1</v>
      </c>
      <c r="B26" s="94"/>
      <c r="C26" s="119" t="s">
        <v>18</v>
      </c>
      <c r="D26" s="36">
        <v>5</v>
      </c>
      <c r="E26" s="28"/>
      <c r="F26" s="29">
        <v>7</v>
      </c>
      <c r="G26" s="28"/>
      <c r="H26" s="34"/>
      <c r="I26" s="30"/>
      <c r="J26" s="17"/>
      <c r="K26" s="131"/>
      <c r="L26" s="19"/>
      <c r="M26" s="20"/>
      <c r="N26" s="47"/>
      <c r="O26" s="44">
        <f>IF(ISERROR(S26),"",IF(S26&lt;1,0,ROUND(S26,0)))</f>
        <v>6</v>
      </c>
      <c r="P26" s="1"/>
      <c r="Q26" s="1">
        <f t="shared" si="0"/>
        <v>6</v>
      </c>
      <c r="S26" s="93">
        <f>AVERAGE(D26:F26)</f>
        <v>6</v>
      </c>
      <c r="T26" s="94" t="str">
        <f t="shared" si="15"/>
        <v/>
      </c>
      <c r="V26" s="1"/>
      <c r="W26" s="1"/>
      <c r="X26" s="1"/>
      <c r="Y26" s="1"/>
      <c r="Z26" s="1"/>
      <c r="AA26" s="1"/>
      <c r="AB26" s="1"/>
      <c r="AC26" s="1"/>
      <c r="AD26" s="130"/>
      <c r="AE26" s="207" t="str">
        <f t="shared" si="10"/>
        <v/>
      </c>
    </row>
    <row r="27" spans="1:31">
      <c r="C27" s="132" t="s">
        <v>159</v>
      </c>
      <c r="D27" s="231" t="s">
        <v>25</v>
      </c>
      <c r="E27" s="231"/>
      <c r="F27" s="231"/>
      <c r="G27" s="231"/>
      <c r="H27" s="231"/>
      <c r="I27" s="231"/>
      <c r="J27" s="231"/>
      <c r="K27" s="231"/>
    </row>
    <row r="28" spans="1:31">
      <c r="D28" s="232" t="str">
        <f>IF(AE5&gt;=3,"Zur Prüfung nicht zugelassen","")</f>
        <v/>
      </c>
      <c r="E28" s="232"/>
      <c r="F28" s="232"/>
      <c r="G28" s="232"/>
      <c r="H28" s="232"/>
      <c r="I28" s="232"/>
      <c r="J28" s="232"/>
      <c r="K28" s="232"/>
    </row>
    <row r="29" spans="1:31">
      <c r="C29" s="133" t="s">
        <v>156</v>
      </c>
      <c r="D29" s="233">
        <f>3*SUM(N8:N14)</f>
        <v>57</v>
      </c>
      <c r="E29" s="234"/>
      <c r="F29" s="233" t="s">
        <v>181</v>
      </c>
      <c r="G29" s="234"/>
      <c r="H29" s="204">
        <f>U46</f>
        <v>4</v>
      </c>
      <c r="J29" s="200"/>
      <c r="K29" s="201"/>
      <c r="L29" s="219" t="s">
        <v>168</v>
      </c>
      <c r="M29" s="219" t="s">
        <v>153</v>
      </c>
      <c r="N29" s="220" t="s">
        <v>169</v>
      </c>
      <c r="R29" s="108" t="s">
        <v>24</v>
      </c>
      <c r="S29" s="108" t="s">
        <v>172</v>
      </c>
      <c r="T29" s="108" t="s">
        <v>173</v>
      </c>
      <c r="U29" s="108" t="s">
        <v>174</v>
      </c>
    </row>
    <row r="30" spans="1:31">
      <c r="C30" s="99" t="s">
        <v>167</v>
      </c>
      <c r="D30" s="233">
        <f>SUM(V7:AC24)</f>
        <v>152</v>
      </c>
      <c r="E30" s="234"/>
      <c r="F30" s="233" t="s">
        <v>157</v>
      </c>
      <c r="G30" s="234"/>
      <c r="H30" s="218">
        <f>S46</f>
        <v>25</v>
      </c>
      <c r="J30" s="137" t="s">
        <v>104</v>
      </c>
      <c r="K30" s="138"/>
      <c r="L30" s="139">
        <f>S30</f>
        <v>0</v>
      </c>
      <c r="M30" s="139">
        <f>T30</f>
        <v>0</v>
      </c>
      <c r="N30" s="140">
        <f>U30</f>
        <v>0</v>
      </c>
      <c r="R30" s="221">
        <v>0</v>
      </c>
      <c r="S30" s="221">
        <f t="shared" ref="S30:S45" si="16">COUNTIF($V$7:$AC$24,R30)</f>
        <v>0</v>
      </c>
      <c r="T30" s="221">
        <f>COUNTIF($Q$7:$Q$26,R30)</f>
        <v>0</v>
      </c>
      <c r="U30" s="221">
        <f t="shared" ref="U30:U45" si="17">COUNTIF($N$8:$N$14,R30)</f>
        <v>0</v>
      </c>
    </row>
    <row r="31" spans="1:31">
      <c r="C31" s="133" t="s">
        <v>22</v>
      </c>
      <c r="D31" s="233">
        <f>H25</f>
        <v>5</v>
      </c>
      <c r="E31" s="234"/>
      <c r="F31" s="134"/>
      <c r="G31" s="135"/>
      <c r="H31" s="136"/>
      <c r="J31" s="137" t="s">
        <v>105</v>
      </c>
      <c r="K31" s="138"/>
      <c r="L31" s="139">
        <f t="shared" ref="L31:N35" si="18">S31</f>
        <v>1</v>
      </c>
      <c r="M31" s="139">
        <f t="shared" si="18"/>
        <v>0</v>
      </c>
      <c r="N31" s="140">
        <f t="shared" si="18"/>
        <v>0</v>
      </c>
      <c r="R31" s="221">
        <v>1</v>
      </c>
      <c r="S31" s="221">
        <f t="shared" si="16"/>
        <v>1</v>
      </c>
      <c r="T31" s="221">
        <f t="shared" ref="T31:T45" si="19">COUNTIF($Q$7:$Q$26,R31)</f>
        <v>0</v>
      </c>
      <c r="U31" s="221">
        <f t="shared" si="17"/>
        <v>0</v>
      </c>
    </row>
    <row r="32" spans="1:31">
      <c r="C32" s="133" t="s">
        <v>155</v>
      </c>
      <c r="D32" s="233">
        <f>D26+F26</f>
        <v>12</v>
      </c>
      <c r="E32" s="234"/>
      <c r="F32" s="134"/>
      <c r="G32" s="135"/>
      <c r="H32" s="136"/>
      <c r="J32" s="137" t="s">
        <v>106</v>
      </c>
      <c r="K32" s="138"/>
      <c r="L32" s="139">
        <f t="shared" si="18"/>
        <v>0</v>
      </c>
      <c r="M32" s="139">
        <f t="shared" si="18"/>
        <v>0</v>
      </c>
      <c r="N32" s="140">
        <f t="shared" si="18"/>
        <v>0</v>
      </c>
      <c r="R32" s="221">
        <v>2</v>
      </c>
      <c r="S32" s="221">
        <f t="shared" si="16"/>
        <v>0</v>
      </c>
      <c r="T32" s="221">
        <f t="shared" si="19"/>
        <v>0</v>
      </c>
      <c r="U32" s="221">
        <f t="shared" si="17"/>
        <v>0</v>
      </c>
    </row>
    <row r="33" spans="3:21">
      <c r="C33" s="141" t="s">
        <v>158</v>
      </c>
      <c r="D33" s="228">
        <f>SUM(D29:D32)</f>
        <v>226</v>
      </c>
      <c r="E33" s="229"/>
      <c r="F33" s="134"/>
      <c r="G33" s="135"/>
      <c r="H33" s="136"/>
      <c r="J33" s="137" t="s">
        <v>107</v>
      </c>
      <c r="K33" s="138"/>
      <c r="L33" s="139">
        <f t="shared" si="18"/>
        <v>5</v>
      </c>
      <c r="M33" s="139">
        <f t="shared" si="18"/>
        <v>2</v>
      </c>
      <c r="N33" s="140">
        <f t="shared" si="18"/>
        <v>1</v>
      </c>
      <c r="R33" s="221">
        <v>3</v>
      </c>
      <c r="S33" s="221">
        <f t="shared" si="16"/>
        <v>5</v>
      </c>
      <c r="T33" s="221">
        <f t="shared" si="19"/>
        <v>2</v>
      </c>
      <c r="U33" s="221">
        <f t="shared" si="17"/>
        <v>1</v>
      </c>
    </row>
    <row r="34" spans="3:21">
      <c r="C34" s="141" t="s">
        <v>23</v>
      </c>
      <c r="D34" s="235" t="str">
        <f>IF(D35="bestanden",INT(F34*10)/10,"")</f>
        <v/>
      </c>
      <c r="E34" s="236"/>
      <c r="F34" s="217">
        <f>17/3-5*D33/600</f>
        <v>3.7833333333333337</v>
      </c>
      <c r="G34" s="134"/>
      <c r="H34" s="136"/>
      <c r="J34" s="143" t="s">
        <v>149</v>
      </c>
      <c r="K34" s="144"/>
      <c r="L34" s="145">
        <f t="shared" si="18"/>
        <v>6</v>
      </c>
      <c r="M34" s="145">
        <f t="shared" si="18"/>
        <v>3</v>
      </c>
      <c r="N34" s="146">
        <f t="shared" si="18"/>
        <v>1</v>
      </c>
      <c r="R34" s="221">
        <v>4</v>
      </c>
      <c r="S34" s="221">
        <f t="shared" si="16"/>
        <v>6</v>
      </c>
      <c r="T34" s="221">
        <f t="shared" si="19"/>
        <v>3</v>
      </c>
      <c r="U34" s="221">
        <f t="shared" si="17"/>
        <v>1</v>
      </c>
    </row>
    <row r="35" spans="3:21">
      <c r="C35" s="141" t="s">
        <v>108</v>
      </c>
      <c r="D35" s="237" t="str">
        <f>IF(AND(E41=0,H30=25,U46=4),"bestanden","nicht bestanden")</f>
        <v>nicht bestanden</v>
      </c>
      <c r="E35" s="238"/>
      <c r="F35" s="228"/>
      <c r="G35" s="135"/>
      <c r="H35" s="136"/>
      <c r="J35" s="143" t="s">
        <v>150</v>
      </c>
      <c r="K35" s="144"/>
      <c r="L35" s="145">
        <f t="shared" si="18"/>
        <v>3</v>
      </c>
      <c r="M35" s="145">
        <f t="shared" si="18"/>
        <v>2</v>
      </c>
      <c r="N35" s="146">
        <f t="shared" si="18"/>
        <v>1</v>
      </c>
      <c r="R35" s="221">
        <v>5</v>
      </c>
      <c r="S35" s="221">
        <f t="shared" si="16"/>
        <v>3</v>
      </c>
      <c r="T35" s="221">
        <f t="shared" si="19"/>
        <v>2</v>
      </c>
      <c r="U35" s="221">
        <f t="shared" si="17"/>
        <v>1</v>
      </c>
    </row>
    <row r="36" spans="3:21">
      <c r="J36" s="228" t="s">
        <v>151</v>
      </c>
      <c r="K36" s="229"/>
      <c r="L36" s="216">
        <f>SUM(L30:L33)</f>
        <v>6</v>
      </c>
      <c r="M36" s="216">
        <f>SUM(M30:M33)</f>
        <v>2</v>
      </c>
      <c r="N36" s="218">
        <f>SUM(N30:N33)</f>
        <v>1</v>
      </c>
      <c r="R36" s="221">
        <v>6</v>
      </c>
      <c r="S36" s="221">
        <f t="shared" si="16"/>
        <v>1</v>
      </c>
      <c r="T36" s="221">
        <f t="shared" si="19"/>
        <v>1</v>
      </c>
      <c r="U36" s="221">
        <f t="shared" si="17"/>
        <v>0</v>
      </c>
    </row>
    <row r="37" spans="3:21">
      <c r="C37" s="149" t="s">
        <v>175</v>
      </c>
      <c r="D37" s="222"/>
      <c r="E37" s="223"/>
      <c r="F37" s="224"/>
      <c r="J37" s="202" t="s">
        <v>152</v>
      </c>
      <c r="K37" s="203"/>
      <c r="L37" s="199">
        <f>2*L30+L31+L32+L33</f>
        <v>6</v>
      </c>
      <c r="M37" s="199">
        <f>2*M30+M31+M32+M33</f>
        <v>2</v>
      </c>
      <c r="N37" s="89">
        <f>2*N30+N31+N32+N33</f>
        <v>1</v>
      </c>
      <c r="R37" s="221">
        <v>7</v>
      </c>
      <c r="S37" s="221">
        <f t="shared" si="16"/>
        <v>2</v>
      </c>
      <c r="T37" s="221">
        <f t="shared" si="19"/>
        <v>2</v>
      </c>
      <c r="U37" s="221">
        <f t="shared" si="17"/>
        <v>1</v>
      </c>
    </row>
    <row r="38" spans="3:21">
      <c r="C38" s="150" t="s">
        <v>170</v>
      </c>
      <c r="D38" s="225" t="str">
        <f>IF(AND(M37&lt;3,N37&lt;3,U46=4),"erfüllt","nicht erfüllt")</f>
        <v>erfüllt</v>
      </c>
      <c r="E38" s="225"/>
      <c r="F38" s="225"/>
      <c r="J38" s="151"/>
      <c r="K38" s="151"/>
      <c r="L38" s="152"/>
      <c r="R38" s="221">
        <v>8</v>
      </c>
      <c r="S38" s="221">
        <f t="shared" si="16"/>
        <v>1</v>
      </c>
      <c r="T38" s="221">
        <f t="shared" si="19"/>
        <v>1</v>
      </c>
      <c r="U38" s="221">
        <f t="shared" si="17"/>
        <v>0</v>
      </c>
    </row>
    <row r="39" spans="3:21">
      <c r="C39" s="153" t="s">
        <v>177</v>
      </c>
      <c r="D39" s="226" t="str">
        <f>IF(M37&lt;&gt;1,"",IF(D33&lt;200,"nicht erfüllt","erfüllt"))</f>
        <v/>
      </c>
      <c r="E39" s="226"/>
      <c r="F39" s="226"/>
      <c r="J39" s="155"/>
      <c r="K39" s="155"/>
      <c r="R39" s="221">
        <v>9</v>
      </c>
      <c r="S39" s="221">
        <f t="shared" si="16"/>
        <v>2</v>
      </c>
      <c r="T39" s="221">
        <f t="shared" si="19"/>
        <v>0</v>
      </c>
      <c r="U39" s="221">
        <f t="shared" si="17"/>
        <v>0</v>
      </c>
    </row>
    <row r="40" spans="3:21">
      <c r="C40" s="153" t="s">
        <v>178</v>
      </c>
      <c r="D40" s="226" t="str">
        <f>IF(M37&lt;&gt;2,"",IF(D33&lt;240,"nicht erfüllt","erfüllt"))</f>
        <v>nicht erfüllt</v>
      </c>
      <c r="E40" s="226"/>
      <c r="F40" s="226"/>
      <c r="J40" s="155"/>
      <c r="K40" s="155"/>
      <c r="R40" s="221">
        <v>10</v>
      </c>
      <c r="S40" s="221">
        <f t="shared" si="16"/>
        <v>1</v>
      </c>
      <c r="T40" s="221">
        <f t="shared" si="19"/>
        <v>0</v>
      </c>
      <c r="U40" s="221">
        <f t="shared" si="17"/>
        <v>0</v>
      </c>
    </row>
    <row r="41" spans="3:21">
      <c r="E41" s="156">
        <f>COUNTIF(D38:F40,"nicht erfüllt")</f>
        <v>1</v>
      </c>
      <c r="J41" s="157"/>
      <c r="K41" s="157"/>
      <c r="L41" s="152"/>
      <c r="R41" s="221">
        <v>11</v>
      </c>
      <c r="S41" s="221">
        <f t="shared" si="16"/>
        <v>0</v>
      </c>
      <c r="T41" s="221">
        <f t="shared" si="19"/>
        <v>1</v>
      </c>
      <c r="U41" s="221">
        <f t="shared" si="17"/>
        <v>0</v>
      </c>
    </row>
    <row r="42" spans="3:21">
      <c r="C42" s="227" t="s">
        <v>160</v>
      </c>
      <c r="D42" s="227"/>
      <c r="E42" s="227"/>
      <c r="F42" s="227"/>
      <c r="G42" s="227"/>
      <c r="H42" s="227"/>
      <c r="I42" s="227"/>
      <c r="J42" s="227"/>
      <c r="K42" s="227"/>
      <c r="L42" s="227"/>
      <c r="M42" s="227"/>
      <c r="N42" s="227"/>
      <c r="O42" s="227"/>
      <c r="R42" s="221">
        <v>12</v>
      </c>
      <c r="S42" s="221">
        <f t="shared" si="16"/>
        <v>1</v>
      </c>
      <c r="T42" s="221">
        <f t="shared" si="19"/>
        <v>0</v>
      </c>
      <c r="U42" s="221">
        <f t="shared" si="17"/>
        <v>0</v>
      </c>
    </row>
    <row r="43" spans="3:21">
      <c r="C43" s="194"/>
      <c r="J43" s="157"/>
      <c r="K43" s="157"/>
      <c r="L43" s="152"/>
      <c r="R43" s="221">
        <v>13</v>
      </c>
      <c r="S43" s="221">
        <f t="shared" si="16"/>
        <v>0</v>
      </c>
      <c r="T43" s="221">
        <f t="shared" si="19"/>
        <v>0</v>
      </c>
      <c r="U43" s="221">
        <f t="shared" si="17"/>
        <v>0</v>
      </c>
    </row>
    <row r="44" spans="3:21">
      <c r="C44" s="194" t="s">
        <v>186</v>
      </c>
      <c r="J44" s="157"/>
      <c r="K44" s="157"/>
      <c r="L44" s="152"/>
      <c r="R44" s="221">
        <v>14</v>
      </c>
      <c r="S44" s="221">
        <f t="shared" si="16"/>
        <v>1</v>
      </c>
      <c r="T44" s="221">
        <f t="shared" si="19"/>
        <v>0</v>
      </c>
      <c r="U44" s="221">
        <f t="shared" si="17"/>
        <v>0</v>
      </c>
    </row>
    <row r="45" spans="3:21">
      <c r="C45" s="194" t="s">
        <v>165</v>
      </c>
      <c r="J45" s="157"/>
      <c r="K45" s="157"/>
      <c r="L45" s="152"/>
      <c r="R45" s="221">
        <v>15</v>
      </c>
      <c r="S45" s="221">
        <f t="shared" si="16"/>
        <v>1</v>
      </c>
      <c r="T45" s="221">
        <f t="shared" si="19"/>
        <v>1</v>
      </c>
      <c r="U45" s="221">
        <f t="shared" si="17"/>
        <v>0</v>
      </c>
    </row>
    <row r="46" spans="3:21">
      <c r="J46" s="155"/>
      <c r="K46" s="155"/>
      <c r="R46" s="221"/>
      <c r="S46" s="158">
        <f>SUM(S30:S45)</f>
        <v>25</v>
      </c>
      <c r="T46" s="158">
        <f>SUM(T30:T45)</f>
        <v>13</v>
      </c>
      <c r="U46" s="158">
        <f>SUM(U30:U45)</f>
        <v>4</v>
      </c>
    </row>
  </sheetData>
  <sheetProtection password="CD32" sheet="1" formatRows="0" selectLockedCells="1"/>
  <scenarios current="1" show="1">
    <scenario name="FOS12 nach Prüfung" locked="1" count="4" user="Benutzer" comment="Erstellt von Benutzer am 19.11.2018">
      <inputCells r="L8" val="4"/>
      <inputCells r="L9" val="5"/>
      <inputCells r="L10" val="8"/>
      <inputCells r="L14" val="3"/>
    </scenario>
    <scenario name="FOS12 vor Prüfung" locked="1" count="4" user="Benutzer" comment="Erstellt von Benutzer am 19.11.2018">
      <inputCells r="L8" val=""/>
      <inputCells r="L9" val=""/>
      <inputCells r="L10" val=""/>
      <inputCells r="L14" val=""/>
    </scenario>
  </scenarios>
  <mergeCells count="24">
    <mergeCell ref="D37:F37"/>
    <mergeCell ref="D38:F38"/>
    <mergeCell ref="D39:F39"/>
    <mergeCell ref="D40:F40"/>
    <mergeCell ref="C42:O42"/>
    <mergeCell ref="J36:K36"/>
    <mergeCell ref="H25:K25"/>
    <mergeCell ref="D27:K27"/>
    <mergeCell ref="D28:K28"/>
    <mergeCell ref="D29:E29"/>
    <mergeCell ref="F29:G29"/>
    <mergeCell ref="D30:E30"/>
    <mergeCell ref="F30:G30"/>
    <mergeCell ref="D31:E31"/>
    <mergeCell ref="D32:E32"/>
    <mergeCell ref="D33:E33"/>
    <mergeCell ref="D34:E34"/>
    <mergeCell ref="D35:F35"/>
    <mergeCell ref="D5:K5"/>
    <mergeCell ref="C2:D2"/>
    <mergeCell ref="I2:O2"/>
    <mergeCell ref="J3:N3"/>
    <mergeCell ref="D4:F4"/>
    <mergeCell ref="H4:O4"/>
  </mergeCells>
  <conditionalFormatting sqref="T2:T4">
    <cfRule type="cellIs" dxfId="106" priority="54" operator="greaterThan">
      <formula>1</formula>
    </cfRule>
  </conditionalFormatting>
  <conditionalFormatting sqref="H30">
    <cfRule type="cellIs" dxfId="105" priority="52" operator="notEqual">
      <formula>25</formula>
    </cfRule>
    <cfRule type="cellIs" dxfId="104" priority="53" operator="equal">
      <formula>25</formula>
    </cfRule>
  </conditionalFormatting>
  <conditionalFormatting sqref="D27">
    <cfRule type="expression" dxfId="103" priority="51">
      <formula>R5&gt;1</formula>
    </cfRule>
  </conditionalFormatting>
  <conditionalFormatting sqref="D35:F35">
    <cfRule type="containsText" dxfId="102" priority="49" operator="containsText" text="nicht bestanden">
      <formula>NOT(ISERROR(SEARCH("nicht bestanden",D35)))</formula>
    </cfRule>
    <cfRule type="containsText" dxfId="101" priority="50" operator="containsText" text="bestanden">
      <formula>NOT(ISERROR(SEARCH("bestanden",D35)))</formula>
    </cfRule>
  </conditionalFormatting>
  <conditionalFormatting sqref="D18">
    <cfRule type="expression" dxfId="100" priority="47">
      <formula>"G5=0"</formula>
    </cfRule>
    <cfRule type="expression" dxfId="99" priority="48">
      <formula>E18=1</formula>
    </cfRule>
  </conditionalFormatting>
  <conditionalFormatting sqref="F16">
    <cfRule type="expression" dxfId="98" priority="45">
      <formula>"G5=0"</formula>
    </cfRule>
    <cfRule type="expression" dxfId="97" priority="46">
      <formula>G16=1</formula>
    </cfRule>
  </conditionalFormatting>
  <conditionalFormatting sqref="H7">
    <cfRule type="expression" dxfId="96" priority="43">
      <formula>"&lt;&gt;istzahl(Z7)"</formula>
    </cfRule>
    <cfRule type="expression" dxfId="95" priority="44">
      <formula>ISNUMBER(Z7)</formula>
    </cfRule>
  </conditionalFormatting>
  <conditionalFormatting sqref="D11">
    <cfRule type="expression" dxfId="94" priority="41">
      <formula>"&lt;&gt;istzahl(Z7)"</formula>
    </cfRule>
    <cfRule type="expression" dxfId="93" priority="42">
      <formula>ISNUMBER(V11)</formula>
    </cfRule>
  </conditionalFormatting>
  <conditionalFormatting sqref="D17">
    <cfRule type="expression" dxfId="92" priority="39">
      <formula>"&lt;&gt;istzahl(Z7)"</formula>
    </cfRule>
    <cfRule type="expression" dxfId="91" priority="40">
      <formula>ISNUMBER(V17)</formula>
    </cfRule>
  </conditionalFormatting>
  <conditionalFormatting sqref="F8:F11">
    <cfRule type="expression" dxfId="90" priority="37">
      <formula>"&lt;&gt;istzahl(Z7)"</formula>
    </cfRule>
    <cfRule type="expression" dxfId="89" priority="38">
      <formula>ISNUMBER(X8)</formula>
    </cfRule>
  </conditionalFormatting>
  <conditionalFormatting sqref="F14:F15">
    <cfRule type="expression" dxfId="88" priority="35">
      <formula>"&lt;&gt;istzahl(Z7)"</formula>
    </cfRule>
    <cfRule type="expression" dxfId="87" priority="36">
      <formula>ISNUMBER(X14)</formula>
    </cfRule>
  </conditionalFormatting>
  <conditionalFormatting sqref="F17:F19">
    <cfRule type="expression" dxfId="86" priority="33">
      <formula>"&lt;&gt;istzahl(Z7)"</formula>
    </cfRule>
    <cfRule type="expression" dxfId="85" priority="34">
      <formula>ISNUMBER(X17)</formula>
    </cfRule>
  </conditionalFormatting>
  <conditionalFormatting sqref="H8:H10">
    <cfRule type="expression" dxfId="84" priority="31">
      <formula>"&lt;&gt;istzahl(Z7)"</formula>
    </cfRule>
    <cfRule type="expression" dxfId="83" priority="32">
      <formula>ISNUMBER(Z8)</formula>
    </cfRule>
  </conditionalFormatting>
  <conditionalFormatting sqref="H12:H13">
    <cfRule type="expression" dxfId="82" priority="29">
      <formula>"&lt;&gt;istzahl(Z7)"</formula>
    </cfRule>
    <cfRule type="expression" dxfId="81" priority="30">
      <formula>ISNUMBER(Z12)</formula>
    </cfRule>
  </conditionalFormatting>
  <conditionalFormatting sqref="H14:H16">
    <cfRule type="expression" dxfId="80" priority="27">
      <formula>"&lt;&gt;istzahl(Z7)"</formula>
    </cfRule>
    <cfRule type="expression" dxfId="79" priority="28">
      <formula>ISNUMBER(Z14)</formula>
    </cfRule>
  </conditionalFormatting>
  <conditionalFormatting sqref="H18:H24">
    <cfRule type="expression" dxfId="78" priority="25">
      <formula>"&lt;&gt;istzahl(Z7)"</formula>
    </cfRule>
    <cfRule type="expression" dxfId="77" priority="26">
      <formula>ISNUMBER(Z18)</formula>
    </cfRule>
  </conditionalFormatting>
  <conditionalFormatting sqref="J7">
    <cfRule type="expression" dxfId="76" priority="23">
      <formula>"&lt;&gt;istzahl(Z7)"</formula>
    </cfRule>
    <cfRule type="expression" dxfId="75" priority="24">
      <formula>ISNUMBER(AB7)</formula>
    </cfRule>
  </conditionalFormatting>
  <conditionalFormatting sqref="J8:J10">
    <cfRule type="expression" dxfId="74" priority="21">
      <formula>"&lt;&gt;istzahl(Z7)"</formula>
    </cfRule>
    <cfRule type="expression" dxfId="73" priority="22">
      <formula>ISNUMBER(AB8)</formula>
    </cfRule>
  </conditionalFormatting>
  <conditionalFormatting sqref="J12:J13">
    <cfRule type="expression" dxfId="72" priority="19">
      <formula>"&lt;&gt;istzahl(Z7)"</formula>
    </cfRule>
    <cfRule type="expression" dxfId="71" priority="20">
      <formula>ISNUMBER(AB12)</formula>
    </cfRule>
  </conditionalFormatting>
  <conditionalFormatting sqref="J14:J16">
    <cfRule type="expression" dxfId="70" priority="17">
      <formula>"&lt;&gt;istzahl(Z7)"</formula>
    </cfRule>
    <cfRule type="expression" dxfId="69" priority="18">
      <formula>ISNUMBER(AB14)</formula>
    </cfRule>
  </conditionalFormatting>
  <conditionalFormatting sqref="J18:J24">
    <cfRule type="expression" dxfId="68" priority="15">
      <formula>"&lt;&gt;istzahl(Z7)"</formula>
    </cfRule>
    <cfRule type="expression" dxfId="67" priority="16">
      <formula>ISNUMBER(AB18)</formula>
    </cfRule>
  </conditionalFormatting>
  <conditionalFormatting sqref="L8">
    <cfRule type="expression" dxfId="66" priority="14">
      <formula>ISNUMBER(L8)</formula>
    </cfRule>
  </conditionalFormatting>
  <conditionalFormatting sqref="L9:L10">
    <cfRule type="expression" dxfId="65" priority="13">
      <formula>ISNUMBER(L9)</formula>
    </cfRule>
  </conditionalFormatting>
  <conditionalFormatting sqref="M8:M10">
    <cfRule type="expression" dxfId="64" priority="12">
      <formula>ISNUMBER(M8)</formula>
    </cfRule>
  </conditionalFormatting>
  <conditionalFormatting sqref="L14">
    <cfRule type="expression" dxfId="63" priority="11">
      <formula>ISNUMBER(L14)</formula>
    </cfRule>
  </conditionalFormatting>
  <conditionalFormatting sqref="M14">
    <cfRule type="expression" dxfId="62" priority="10">
      <formula>ISNUMBER(M14)</formula>
    </cfRule>
  </conditionalFormatting>
  <conditionalFormatting sqref="D26">
    <cfRule type="expression" dxfId="61" priority="9">
      <formula>ISNUMBER(D26)</formula>
    </cfRule>
  </conditionalFormatting>
  <conditionalFormatting sqref="F26">
    <cfRule type="expression" dxfId="60" priority="8">
      <formula>ISNUMBER(F26)</formula>
    </cfRule>
  </conditionalFormatting>
  <conditionalFormatting sqref="H25:K25">
    <cfRule type="expression" dxfId="59" priority="7">
      <formula>ISNUMBER(H25)</formula>
    </cfRule>
  </conditionalFormatting>
  <conditionalFormatting sqref="H29">
    <cfRule type="expression" dxfId="58" priority="5">
      <formula>$H$29&lt;&gt;4</formula>
    </cfRule>
    <cfRule type="expression" dxfId="57" priority="6">
      <formula>$H$29=4</formula>
    </cfRule>
  </conditionalFormatting>
  <conditionalFormatting sqref="O23">
    <cfRule type="expression" dxfId="56" priority="4">
      <formula>$A$23=0</formula>
    </cfRule>
  </conditionalFormatting>
  <conditionalFormatting sqref="O22">
    <cfRule type="expression" dxfId="55" priority="3">
      <formula>$A$22=0</formula>
    </cfRule>
  </conditionalFormatting>
  <conditionalFormatting sqref="O24">
    <cfRule type="expression" dxfId="54" priority="2">
      <formula>$A$24=0</formula>
    </cfRule>
  </conditionalFormatting>
  <conditionalFormatting sqref="D28:K28">
    <cfRule type="containsText" dxfId="53" priority="1" operator="containsText" text="Zur Prüfung nicht zugelassen">
      <formula>NOT(ISERROR(SEARCH("Zur Prüfung nicht zugelassen",D28)))</formula>
    </cfRule>
  </conditionalFormatting>
  <dataValidations count="2">
    <dataValidation type="whole" allowBlank="1" showInputMessage="1" showErrorMessage="1" sqref="J7:J10 F26 L14:M14 D11 F14:F16 D18 H19:H25 F18:F20 D26 F8:F11 L8:M10 H7:H10 H12:H16 J12:J16 J19:J24">
      <formula1>0</formula1>
      <formula2>15</formula2>
    </dataValidation>
    <dataValidation type="whole" allowBlank="1" showInputMessage="1" showErrorMessage="1" sqref="K26">
      <formula1>0</formula1>
      <formula2>1</formula2>
    </dataValidation>
  </dataValidations>
  <pageMargins left="0.70866141732283472" right="0.70866141732283472" top="1.3779527559055118" bottom="0.78740157480314965" header="0.31496062992125984" footer="0.31496062992125984"/>
  <pageSetup paperSize="9" scale="97" orientation="portrait" r:id="rId1"/>
  <headerFooter>
    <oddHeader>&amp;L&amp;G&amp;R&amp;G</oddHeader>
  </headerFooter>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Hinweise!$C$6:$C$37</xm:f>
          </x14:formula1>
          <xm:sqref>C22:C24</xm:sqref>
        </x14:dataValidation>
        <x14:dataValidation type="list" allowBlank="1" showInputMessage="1" showErrorMessage="1">
          <x14:formula1>
            <xm:f>Hinweise!$G$4:$G$10</xm:f>
          </x14:formula1>
          <xm:sqref>D4</xm:sqref>
        </x14:dataValidation>
        <x14:dataValidation type="list" allowBlank="1" showInputMessage="1" showErrorMessage="1">
          <x14:formula1>
            <xm:f>Hinweise!$K$18:$K$19</xm:f>
          </x14:formula1>
          <xm:sqref>I7:I24 E7:E24 G7:G24 K7:K24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2:AI46"/>
  <sheetViews>
    <sheetView topLeftCell="B1" zoomScaleNormal="100" workbookViewId="0">
      <selection activeCell="I2" sqref="I2:O2"/>
    </sheetView>
  </sheetViews>
  <sheetFormatPr baseColWidth="10" defaultRowHeight="15.75"/>
  <cols>
    <col min="1" max="1" width="5.625" style="93" hidden="1" customWidth="1"/>
    <col min="2" max="2" width="3.5" style="93" customWidth="1"/>
    <col min="3" max="3" width="27.25" style="93" customWidth="1"/>
    <col min="4" max="4" width="5.75" style="93" customWidth="1"/>
    <col min="5" max="5" width="3.625" style="93" bestFit="1" customWidth="1"/>
    <col min="6" max="6" width="5.75" style="93" customWidth="1"/>
    <col min="7" max="7" width="3.625" style="93" bestFit="1" customWidth="1"/>
    <col min="8" max="8" width="5.75" style="93" customWidth="1"/>
    <col min="9" max="9" width="3.625" style="93" bestFit="1" customWidth="1"/>
    <col min="10" max="10" width="5.75" style="93" customWidth="1"/>
    <col min="11" max="11" width="3.625" style="93" bestFit="1" customWidth="1"/>
    <col min="12" max="14" width="4" style="93" customWidth="1"/>
    <col min="15" max="15" width="5.375" style="93" customWidth="1"/>
    <col min="16" max="17" width="5.375" style="93" hidden="1" customWidth="1"/>
    <col min="18" max="19" width="8.25" style="94" hidden="1" customWidth="1"/>
    <col min="20" max="21" width="11" style="94" hidden="1" customWidth="1"/>
    <col min="22" max="22" width="4.625" style="94" hidden="1" customWidth="1"/>
    <col min="23" max="23" width="9.25" style="94" hidden="1" customWidth="1"/>
    <col min="24" max="24" width="4.625" style="94" hidden="1" customWidth="1"/>
    <col min="25" max="25" width="9.25" style="94" hidden="1" customWidth="1"/>
    <col min="26" max="26" width="4.625" style="94" hidden="1" customWidth="1"/>
    <col min="27" max="27" width="9.25" style="94" hidden="1" customWidth="1"/>
    <col min="28" max="28" width="4.625" style="94" hidden="1" customWidth="1"/>
    <col min="29" max="29" width="9.25" style="94" hidden="1" customWidth="1"/>
    <col min="30" max="31" width="9" style="95" hidden="1" customWidth="1"/>
    <col min="32" max="32" width="7.5" style="93" hidden="1" customWidth="1"/>
    <col min="33" max="33" width="9.5" style="93" hidden="1" customWidth="1"/>
    <col min="34" max="34" width="9.875" style="94" bestFit="1" customWidth="1"/>
    <col min="35" max="35" width="9.5" style="94" bestFit="1" customWidth="1"/>
    <col min="36" max="16384" width="11" style="93"/>
  </cols>
  <sheetData>
    <row r="2" spans="1:35" ht="21">
      <c r="C2" s="240" t="s">
        <v>162</v>
      </c>
      <c r="D2" s="240"/>
      <c r="H2" s="93" t="s">
        <v>113</v>
      </c>
      <c r="I2" s="241" t="s">
        <v>187</v>
      </c>
      <c r="J2" s="241"/>
      <c r="K2" s="241"/>
      <c r="L2" s="241"/>
      <c r="M2" s="241"/>
      <c r="N2" s="241"/>
      <c r="O2" s="241"/>
    </row>
    <row r="3" spans="1:35" ht="15.75" customHeight="1">
      <c r="C3" s="96"/>
      <c r="D3" s="96"/>
      <c r="J3" s="242">
        <f ca="1">NOW()</f>
        <v>43522.649079166666</v>
      </c>
      <c r="K3" s="242"/>
      <c r="L3" s="242"/>
      <c r="M3" s="242"/>
      <c r="N3" s="242"/>
    </row>
    <row r="4" spans="1:35" ht="15.75" customHeight="1">
      <c r="C4" s="97" t="s">
        <v>161</v>
      </c>
      <c r="D4" s="243" t="s">
        <v>117</v>
      </c>
      <c r="E4" s="244"/>
      <c r="F4" s="245"/>
      <c r="G4" s="98"/>
      <c r="H4" s="246" t="s">
        <v>160</v>
      </c>
      <c r="I4" s="247"/>
      <c r="J4" s="247"/>
      <c r="K4" s="247"/>
      <c r="L4" s="247"/>
      <c r="M4" s="247"/>
      <c r="N4" s="247"/>
      <c r="O4" s="247"/>
    </row>
    <row r="5" spans="1:35">
      <c r="D5" s="239" t="s">
        <v>166</v>
      </c>
      <c r="E5" s="239"/>
      <c r="F5" s="239"/>
      <c r="G5" s="239"/>
      <c r="H5" s="239"/>
      <c r="I5" s="239"/>
      <c r="J5" s="239"/>
      <c r="K5" s="239"/>
      <c r="R5" s="94">
        <f>MAX(R7:R24)</f>
        <v>0</v>
      </c>
      <c r="AE5" s="209">
        <f>SUM(AE7:AE25)</f>
        <v>0</v>
      </c>
    </row>
    <row r="6" spans="1:35">
      <c r="A6" s="93" t="s">
        <v>115</v>
      </c>
      <c r="C6" s="99"/>
      <c r="D6" s="159"/>
      <c r="E6" s="160"/>
      <c r="F6" s="159"/>
      <c r="G6" s="160"/>
      <c r="H6" s="100" t="s">
        <v>2</v>
      </c>
      <c r="I6" s="101" t="s">
        <v>136</v>
      </c>
      <c r="J6" s="100" t="s">
        <v>3</v>
      </c>
      <c r="K6" s="101" t="s">
        <v>136</v>
      </c>
      <c r="L6" s="100" t="s">
        <v>19</v>
      </c>
      <c r="M6" s="102" t="s">
        <v>20</v>
      </c>
      <c r="N6" s="103" t="s">
        <v>169</v>
      </c>
      <c r="O6" s="104" t="s">
        <v>153</v>
      </c>
      <c r="P6" s="105"/>
      <c r="Q6" s="106" t="s">
        <v>154</v>
      </c>
      <c r="R6" s="105" t="s">
        <v>148</v>
      </c>
      <c r="S6" s="105" t="s">
        <v>153</v>
      </c>
      <c r="T6" s="105"/>
      <c r="V6" s="107" t="s">
        <v>0</v>
      </c>
      <c r="W6" s="108" t="s">
        <v>109</v>
      </c>
      <c r="X6" s="107" t="s">
        <v>1</v>
      </c>
      <c r="Y6" s="108" t="s">
        <v>110</v>
      </c>
      <c r="Z6" s="107" t="s">
        <v>2</v>
      </c>
      <c r="AA6" s="108" t="s">
        <v>111</v>
      </c>
      <c r="AB6" s="107" t="s">
        <v>3</v>
      </c>
      <c r="AC6" s="108" t="s">
        <v>112</v>
      </c>
      <c r="AD6" s="109" t="s">
        <v>147</v>
      </c>
      <c r="AE6" s="206" t="s">
        <v>185</v>
      </c>
    </row>
    <row r="7" spans="1:35">
      <c r="A7" s="94">
        <v>1</v>
      </c>
      <c r="B7" s="94"/>
      <c r="C7" s="110" t="s">
        <v>4</v>
      </c>
      <c r="D7" s="60"/>
      <c r="E7" s="111"/>
      <c r="F7" s="61"/>
      <c r="G7" s="112"/>
      <c r="H7" s="39">
        <v>4</v>
      </c>
      <c r="I7" s="12"/>
      <c r="J7" s="13">
        <v>4</v>
      </c>
      <c r="K7" s="23"/>
      <c r="L7" s="21"/>
      <c r="M7" s="22"/>
      <c r="N7" s="45"/>
      <c r="O7" s="42">
        <f>IF(AND(ISERROR(S7),ISERROR(T7)),"",IF(ISNUMBER(S7),ROUND(S7,0),ROUND(T7,0)))</f>
        <v>4</v>
      </c>
      <c r="P7" s="1"/>
      <c r="Q7" s="1">
        <f t="shared" ref="Q7:Q25" si="0">IF(A7=1,O7,"")</f>
        <v>4</v>
      </c>
      <c r="R7" s="94">
        <f>COUNTIF(D7:K7,"x")</f>
        <v>0</v>
      </c>
      <c r="S7" s="93">
        <f>IF(AVERAGE(V7:AB7)&lt;1,0,AVERAGE(V7:AB7))</f>
        <v>4</v>
      </c>
      <c r="T7" s="94">
        <f>IF(AVERAGE(D7:J7)&lt;1,0,AVERAGE(D7:J7))</f>
        <v>4</v>
      </c>
      <c r="V7" s="221" t="str">
        <f t="shared" ref="V7:V23" si="1">IF(AND(ISNUMBER(D7),E7="",$A7=1),D7,"")</f>
        <v/>
      </c>
      <c r="W7" s="221"/>
      <c r="X7" s="221" t="str">
        <f t="shared" ref="X7:X23" si="2">IF(AND(ISNUMBER(F7),G7="",$A7=1),F7,"")</f>
        <v/>
      </c>
      <c r="Y7" s="221"/>
      <c r="Z7" s="221">
        <f t="shared" ref="Z7:Z23" si="3">IF(AND(ISNUMBER(H7),I7="",$A7=1),H7,"")</f>
        <v>4</v>
      </c>
      <c r="AA7" s="221"/>
      <c r="AB7" s="221">
        <f t="shared" ref="AB7:AB23" si="4">IF(AND(ISNUMBER(J7),K7="",$A7=1),J7,"")</f>
        <v>4</v>
      </c>
      <c r="AC7" s="221"/>
      <c r="AD7" s="113">
        <f>COUNT(V7:AB7)</f>
        <v>2</v>
      </c>
      <c r="AE7" s="113" t="str">
        <f>IF(Q7="","",IF(Q7&lt;4,IF(Q7=0,2,1),""))</f>
        <v/>
      </c>
    </row>
    <row r="8" spans="1:35">
      <c r="A8" s="94">
        <v>1</v>
      </c>
      <c r="B8" s="94"/>
      <c r="C8" s="114" t="s">
        <v>5</v>
      </c>
      <c r="D8" s="4"/>
      <c r="E8" s="115"/>
      <c r="F8" s="161"/>
      <c r="G8" s="115"/>
      <c r="H8" s="33">
        <v>4</v>
      </c>
      <c r="I8" s="7"/>
      <c r="J8" s="8">
        <v>4</v>
      </c>
      <c r="K8" s="7"/>
      <c r="L8" s="9">
        <v>3</v>
      </c>
      <c r="M8" s="5"/>
      <c r="N8" s="116">
        <f>IF(ISBLANK(L8),"",IF(ISBLANK(M8),L8,IF((L8*2+M8)/3&lt;1,0,ROUND((L8*2+M8)/3,0))))</f>
        <v>3</v>
      </c>
      <c r="O8" s="43">
        <f>IF(ISBLANK(L8),"",IF(AND(ISERROR(S8),ISERROR(T8)),"",IF(ISNUMBER(S8),ROUND(S8,0),ROUND(T8,0))))</f>
        <v>4</v>
      </c>
      <c r="P8" s="1"/>
      <c r="Q8" s="1">
        <f t="shared" si="0"/>
        <v>4</v>
      </c>
      <c r="R8" s="94">
        <f t="shared" ref="R8:R23" si="5">COUNTIF(D8:K8,"x")</f>
        <v>0</v>
      </c>
      <c r="S8" s="117">
        <f>IF((2*N8+SUM(V8:AB8))/(AD8+2)&lt;1,0,(2*N8+SUM(V8:AB8))/(AD8+2))</f>
        <v>3.5</v>
      </c>
      <c r="T8" s="94">
        <f t="shared" ref="T8:T14" si="6">AVERAGE(D8:J8)</f>
        <v>4</v>
      </c>
      <c r="V8" s="221" t="str">
        <f t="shared" si="1"/>
        <v/>
      </c>
      <c r="W8" s="221"/>
      <c r="X8" s="221" t="str">
        <f t="shared" si="2"/>
        <v/>
      </c>
      <c r="Y8" s="221"/>
      <c r="Z8" s="221">
        <f t="shared" si="3"/>
        <v>4</v>
      </c>
      <c r="AA8" s="221"/>
      <c r="AB8" s="221">
        <f t="shared" si="4"/>
        <v>4</v>
      </c>
      <c r="AC8" s="221"/>
      <c r="AD8" s="113">
        <f t="shared" ref="AD8:AD23" si="7">COUNT(V8:AB8)</f>
        <v>2</v>
      </c>
      <c r="AE8" s="113"/>
    </row>
    <row r="9" spans="1:35">
      <c r="A9" s="94">
        <v>1</v>
      </c>
      <c r="B9" s="94"/>
      <c r="C9" s="114" t="s">
        <v>6</v>
      </c>
      <c r="D9" s="4"/>
      <c r="E9" s="115"/>
      <c r="F9" s="161"/>
      <c r="G9" s="115"/>
      <c r="H9" s="33">
        <v>4</v>
      </c>
      <c r="I9" s="7"/>
      <c r="J9" s="8">
        <v>4</v>
      </c>
      <c r="K9" s="7"/>
      <c r="L9" s="9">
        <v>3</v>
      </c>
      <c r="M9" s="5">
        <v>4</v>
      </c>
      <c r="N9" s="116">
        <f>IF(ISBLANK(L9),"",IF(ISBLANK(M9),L9,IF((L9*2+M9)/3&lt;1,0,ROUND((L9*2+M9)/3,0))))</f>
        <v>3</v>
      </c>
      <c r="O9" s="43">
        <f t="shared" ref="O9:O10" si="8">IF(ISBLANK(L9),"",IF(AND(ISERROR(S9),ISERROR(T9)),"",IF(ISNUMBER(S9),ROUND(S9,0),ROUND(T9,0))))</f>
        <v>4</v>
      </c>
      <c r="P9" s="1"/>
      <c r="Q9" s="1">
        <f t="shared" si="0"/>
        <v>4</v>
      </c>
      <c r="R9" s="94">
        <f t="shared" si="5"/>
        <v>0</v>
      </c>
      <c r="S9" s="117">
        <f t="shared" ref="S9:S10" si="9">IF((2*N9+SUM(V9:AB9))/(AD9+2)&lt;1,0,(2*N9+SUM(V9:AB9))/(AD9+2))</f>
        <v>3.5</v>
      </c>
      <c r="T9" s="94">
        <f t="shared" si="6"/>
        <v>4</v>
      </c>
      <c r="V9" s="221" t="str">
        <f t="shared" si="1"/>
        <v/>
      </c>
      <c r="W9" s="221"/>
      <c r="X9" s="221" t="str">
        <f t="shared" si="2"/>
        <v/>
      </c>
      <c r="Y9" s="221"/>
      <c r="Z9" s="221">
        <f t="shared" si="3"/>
        <v>4</v>
      </c>
      <c r="AA9" s="221"/>
      <c r="AB9" s="221">
        <f t="shared" si="4"/>
        <v>4</v>
      </c>
      <c r="AC9" s="221"/>
      <c r="AD9" s="113">
        <f t="shared" si="7"/>
        <v>2</v>
      </c>
      <c r="AE9" s="113"/>
    </row>
    <row r="10" spans="1:35">
      <c r="A10" s="94">
        <v>1</v>
      </c>
      <c r="B10" s="94"/>
      <c r="C10" s="114" t="s">
        <v>9</v>
      </c>
      <c r="D10" s="4"/>
      <c r="E10" s="115"/>
      <c r="F10" s="161"/>
      <c r="G10" s="115"/>
      <c r="H10" s="33">
        <v>4</v>
      </c>
      <c r="I10" s="7"/>
      <c r="J10" s="8">
        <v>4</v>
      </c>
      <c r="K10" s="7"/>
      <c r="L10" s="9">
        <v>4</v>
      </c>
      <c r="M10" s="5"/>
      <c r="N10" s="116">
        <f>IF(ISBLANK(L10),"",IF(ISBLANK(M10),L10,IF((L10*2+M10)/3&lt;1,0,ROUND((L10*2+M10)/3,0))))</f>
        <v>4</v>
      </c>
      <c r="O10" s="43">
        <f t="shared" si="8"/>
        <v>4</v>
      </c>
      <c r="P10" s="1"/>
      <c r="Q10" s="1">
        <f t="shared" si="0"/>
        <v>4</v>
      </c>
      <c r="R10" s="94">
        <f t="shared" si="5"/>
        <v>0</v>
      </c>
      <c r="S10" s="117">
        <f t="shared" si="9"/>
        <v>4</v>
      </c>
      <c r="T10" s="94">
        <f t="shared" si="6"/>
        <v>4</v>
      </c>
      <c r="V10" s="221" t="str">
        <f t="shared" si="1"/>
        <v/>
      </c>
      <c r="W10" s="221"/>
      <c r="X10" s="221" t="str">
        <f t="shared" si="2"/>
        <v/>
      </c>
      <c r="Y10" s="221"/>
      <c r="Z10" s="221">
        <f t="shared" si="3"/>
        <v>4</v>
      </c>
      <c r="AA10" s="221"/>
      <c r="AB10" s="221">
        <f t="shared" si="4"/>
        <v>4</v>
      </c>
      <c r="AC10" s="221"/>
      <c r="AD10" s="113">
        <f t="shared" si="7"/>
        <v>2</v>
      </c>
      <c r="AE10" s="113"/>
    </row>
    <row r="11" spans="1:35" hidden="1">
      <c r="A11" s="162"/>
      <c r="B11" s="162"/>
      <c r="C11" s="163"/>
      <c r="D11" s="164"/>
      <c r="E11" s="115"/>
      <c r="F11" s="161"/>
      <c r="G11" s="115"/>
      <c r="H11" s="179"/>
      <c r="I11" s="7"/>
      <c r="J11" s="180"/>
      <c r="K11" s="7"/>
      <c r="L11" s="69"/>
      <c r="M11" s="70"/>
      <c r="N11" s="118"/>
      <c r="O11" s="71"/>
      <c r="P11" s="1"/>
      <c r="Q11" s="1"/>
      <c r="R11" s="162"/>
      <c r="S11" s="165"/>
      <c r="T11" s="162"/>
      <c r="U11" s="162"/>
      <c r="V11" s="166"/>
      <c r="W11" s="166"/>
      <c r="X11" s="166"/>
      <c r="Y11" s="166"/>
      <c r="Z11" s="166"/>
      <c r="AA11" s="166"/>
      <c r="AB11" s="166"/>
      <c r="AC11" s="166"/>
      <c r="AD11" s="167"/>
      <c r="AE11" s="113"/>
      <c r="AF11" s="165"/>
    </row>
    <row r="12" spans="1:35">
      <c r="A12" s="94">
        <v>1</v>
      </c>
      <c r="B12" s="94"/>
      <c r="C12" s="119" t="s">
        <v>163</v>
      </c>
      <c r="D12" s="64"/>
      <c r="E12" s="120"/>
      <c r="F12" s="65"/>
      <c r="G12" s="120"/>
      <c r="H12" s="40">
        <v>4</v>
      </c>
      <c r="I12" s="16"/>
      <c r="J12" s="18">
        <v>4</v>
      </c>
      <c r="K12" s="16"/>
      <c r="L12" s="19"/>
      <c r="M12" s="20"/>
      <c r="N12" s="121"/>
      <c r="O12" s="44">
        <f t="shared" ref="O12:O23" si="10">IF(AND(ISERROR(S12),ISERROR(T12)),"",IF(ISNUMBER(S12),ROUND(S12,0),ROUND(T12,0)))</f>
        <v>4</v>
      </c>
      <c r="P12" s="1"/>
      <c r="Q12" s="1">
        <f t="shared" si="0"/>
        <v>4</v>
      </c>
      <c r="R12" s="94">
        <f t="shared" si="5"/>
        <v>0</v>
      </c>
      <c r="S12" s="93">
        <f>IF(AVERAGE(V12:AB12)&lt;1,0,AVERAGE(V12:AB12))</f>
        <v>4</v>
      </c>
      <c r="T12" s="94">
        <f>IF(AVERAGE(D12:J12)&lt;1,0,AVERAGE(D12:J12))</f>
        <v>4</v>
      </c>
      <c r="V12" s="221" t="str">
        <f t="shared" si="1"/>
        <v/>
      </c>
      <c r="W12" s="221"/>
      <c r="X12" s="221" t="str">
        <f t="shared" si="2"/>
        <v/>
      </c>
      <c r="Y12" s="221"/>
      <c r="Z12" s="221">
        <f t="shared" si="3"/>
        <v>4</v>
      </c>
      <c r="AA12" s="221"/>
      <c r="AB12" s="221">
        <f t="shared" si="4"/>
        <v>4</v>
      </c>
      <c r="AC12" s="221"/>
      <c r="AD12" s="113">
        <f t="shared" si="7"/>
        <v>2</v>
      </c>
      <c r="AE12" s="113" t="str">
        <f t="shared" ref="AE12:AE25" si="11">IF(Q12="","",IF(Q12&lt;4,IF(Q12=0,2,1),""))</f>
        <v/>
      </c>
    </row>
    <row r="13" spans="1:35" s="165" customFormat="1" hidden="1">
      <c r="A13" s="162"/>
      <c r="B13" s="162"/>
      <c r="C13" s="168"/>
      <c r="D13" s="77"/>
      <c r="E13" s="169"/>
      <c r="F13" s="79"/>
      <c r="G13" s="169"/>
      <c r="H13" s="91"/>
      <c r="I13" s="90"/>
      <c r="J13" s="92"/>
      <c r="K13" s="90"/>
      <c r="L13" s="80"/>
      <c r="M13" s="81"/>
      <c r="N13" s="170"/>
      <c r="O13" s="83"/>
      <c r="P13" s="1"/>
      <c r="Q13" s="1"/>
      <c r="R13" s="162"/>
      <c r="T13" s="162"/>
      <c r="U13" s="162"/>
      <c r="V13" s="166"/>
      <c r="W13" s="166"/>
      <c r="X13" s="166"/>
      <c r="Y13" s="166"/>
      <c r="Z13" s="166"/>
      <c r="AA13" s="166"/>
      <c r="AB13" s="166"/>
      <c r="AC13" s="166"/>
      <c r="AD13" s="167"/>
      <c r="AE13" s="113"/>
      <c r="AH13" s="162"/>
      <c r="AI13" s="162"/>
    </row>
    <row r="14" spans="1:35">
      <c r="A14" s="94">
        <f>IF(C14="-",0,1)</f>
        <v>1</v>
      </c>
      <c r="B14" s="94"/>
      <c r="C14" s="122" t="str">
        <f>VLOOKUP($D$4,Hinweise!$G$14:$N$20,3,FALSE)</f>
        <v>Physik</v>
      </c>
      <c r="D14" s="60"/>
      <c r="E14" s="111"/>
      <c r="F14" s="171"/>
      <c r="G14" s="111"/>
      <c r="H14" s="39">
        <v>4</v>
      </c>
      <c r="I14" s="12"/>
      <c r="J14" s="13">
        <v>4</v>
      </c>
      <c r="K14" s="12"/>
      <c r="L14" s="14">
        <v>4</v>
      </c>
      <c r="M14" s="15"/>
      <c r="N14" s="123">
        <f>IF(ISBLANK(L14),"",IF(ISBLANK(M14),L14,IF((L14*2+M14)/3&lt;1,0,ROUND((L14*2+M14)/3,0))))</f>
        <v>4</v>
      </c>
      <c r="O14" s="42">
        <f>IF(ISBLANK(L14),"",IF(AND(ISERROR(S14),ISERROR(T14)),"",IF(ISNUMBER(S14),ROUND(S14,0),ROUND(T14,0))))</f>
        <v>4</v>
      </c>
      <c r="P14" s="1"/>
      <c r="Q14" s="1">
        <f t="shared" si="0"/>
        <v>4</v>
      </c>
      <c r="R14" s="94">
        <f t="shared" si="5"/>
        <v>0</v>
      </c>
      <c r="S14" s="117">
        <f t="shared" ref="S14" si="12">IF((2*N14+SUM(V14:AB14))/(AD14+2)&lt;1,0,(2*N14+SUM(V14:AB14))/(AD14+2))</f>
        <v>4</v>
      </c>
      <c r="T14" s="94">
        <f t="shared" si="6"/>
        <v>4</v>
      </c>
      <c r="V14" s="221" t="str">
        <f t="shared" si="1"/>
        <v/>
      </c>
      <c r="W14" s="221"/>
      <c r="X14" s="221" t="str">
        <f t="shared" si="2"/>
        <v/>
      </c>
      <c r="Y14" s="221"/>
      <c r="Z14" s="221">
        <f t="shared" si="3"/>
        <v>4</v>
      </c>
      <c r="AA14" s="221"/>
      <c r="AB14" s="221">
        <f t="shared" si="4"/>
        <v>4</v>
      </c>
      <c r="AC14" s="221"/>
      <c r="AD14" s="113">
        <f t="shared" si="7"/>
        <v>2</v>
      </c>
      <c r="AE14" s="113"/>
    </row>
    <row r="15" spans="1:35">
      <c r="A15" s="94">
        <f t="shared" ref="A15:A21" si="13">IF(C15="-",0,1)</f>
        <v>1</v>
      </c>
      <c r="B15" s="94"/>
      <c r="C15" s="122" t="str">
        <f>VLOOKUP($D$4,Hinweise!$G$14:$N$20,4,FALSE)</f>
        <v>Technologie</v>
      </c>
      <c r="D15" s="4"/>
      <c r="E15" s="115"/>
      <c r="F15" s="161"/>
      <c r="G15" s="115"/>
      <c r="H15" s="33">
        <v>4</v>
      </c>
      <c r="I15" s="7"/>
      <c r="J15" s="8">
        <v>4</v>
      </c>
      <c r="K15" s="7"/>
      <c r="L15" s="10"/>
      <c r="M15" s="6"/>
      <c r="N15" s="46"/>
      <c r="O15" s="43">
        <f t="shared" si="10"/>
        <v>4</v>
      </c>
      <c r="P15" s="1"/>
      <c r="Q15" s="1">
        <f t="shared" si="0"/>
        <v>4</v>
      </c>
      <c r="R15" s="94">
        <f t="shared" si="5"/>
        <v>0</v>
      </c>
      <c r="S15" s="93">
        <f>IF(AVERAGE(V15:AB15)&lt;1,0,AVERAGE(V15:AB15))</f>
        <v>4</v>
      </c>
      <c r="T15" s="94">
        <f>IF(AVERAGE(D15:J15)&lt;1,0,AVERAGE(D15:J15))</f>
        <v>4</v>
      </c>
      <c r="V15" s="221" t="str">
        <f t="shared" si="1"/>
        <v/>
      </c>
      <c r="W15" s="221"/>
      <c r="X15" s="221" t="str">
        <f t="shared" si="2"/>
        <v/>
      </c>
      <c r="Y15" s="221"/>
      <c r="Z15" s="221">
        <f t="shared" si="3"/>
        <v>4</v>
      </c>
      <c r="AA15" s="221"/>
      <c r="AB15" s="221">
        <f t="shared" si="4"/>
        <v>4</v>
      </c>
      <c r="AC15" s="221"/>
      <c r="AD15" s="113">
        <f t="shared" si="7"/>
        <v>2</v>
      </c>
      <c r="AE15" s="113" t="str">
        <f t="shared" si="11"/>
        <v/>
      </c>
    </row>
    <row r="16" spans="1:35" hidden="1">
      <c r="A16" s="94"/>
      <c r="B16" s="94"/>
      <c r="C16" s="124"/>
      <c r="D16" s="4"/>
      <c r="E16" s="115"/>
      <c r="F16" s="125"/>
      <c r="G16" s="115"/>
      <c r="H16" s="63"/>
      <c r="I16" s="7"/>
      <c r="J16" s="62"/>
      <c r="K16" s="7"/>
      <c r="L16" s="10"/>
      <c r="M16" s="6"/>
      <c r="N16" s="46"/>
      <c r="O16" s="43"/>
      <c r="P16" s="1"/>
      <c r="Q16" s="1"/>
      <c r="S16" s="93"/>
      <c r="V16" s="221"/>
      <c r="W16" s="221"/>
      <c r="X16" s="221"/>
      <c r="Y16" s="221"/>
      <c r="Z16" s="221"/>
      <c r="AA16" s="221"/>
      <c r="AB16" s="221"/>
      <c r="AC16" s="221"/>
      <c r="AD16" s="113"/>
      <c r="AE16" s="113" t="str">
        <f t="shared" si="11"/>
        <v/>
      </c>
    </row>
    <row r="17" spans="1:33" hidden="1">
      <c r="A17" s="94"/>
      <c r="B17" s="94"/>
      <c r="C17" s="124"/>
      <c r="D17" s="164"/>
      <c r="E17" s="115"/>
      <c r="F17" s="161"/>
      <c r="G17" s="115"/>
      <c r="H17" s="179"/>
      <c r="I17" s="7"/>
      <c r="J17" s="180"/>
      <c r="K17" s="7"/>
      <c r="L17" s="10"/>
      <c r="M17" s="6"/>
      <c r="N17" s="46"/>
      <c r="O17" s="43"/>
      <c r="P17" s="1"/>
      <c r="Q17" s="1"/>
      <c r="S17" s="93"/>
      <c r="V17" s="221"/>
      <c r="W17" s="221"/>
      <c r="X17" s="221"/>
      <c r="Y17" s="221"/>
      <c r="Z17" s="221"/>
      <c r="AA17" s="221"/>
      <c r="AB17" s="221"/>
      <c r="AC17" s="221"/>
      <c r="AD17" s="113"/>
      <c r="AE17" s="113" t="str">
        <f t="shared" si="11"/>
        <v/>
      </c>
    </row>
    <row r="18" spans="1:33" hidden="1">
      <c r="A18" s="94"/>
      <c r="B18" s="94"/>
      <c r="C18" s="124"/>
      <c r="D18" s="126"/>
      <c r="E18" s="115"/>
      <c r="F18" s="161"/>
      <c r="G18" s="115"/>
      <c r="H18" s="63"/>
      <c r="I18" s="7"/>
      <c r="J18" s="62"/>
      <c r="K18" s="7"/>
      <c r="L18" s="10"/>
      <c r="M18" s="6"/>
      <c r="N18" s="46"/>
      <c r="O18" s="43"/>
      <c r="P18" s="1"/>
      <c r="Q18" s="1"/>
      <c r="S18" s="93"/>
      <c r="V18" s="221"/>
      <c r="W18" s="221"/>
      <c r="X18" s="221"/>
      <c r="Y18" s="221"/>
      <c r="Z18" s="221"/>
      <c r="AA18" s="221"/>
      <c r="AB18" s="221"/>
      <c r="AC18" s="221"/>
      <c r="AD18" s="113"/>
      <c r="AE18" s="113" t="str">
        <f t="shared" si="11"/>
        <v/>
      </c>
    </row>
    <row r="19" spans="1:33" hidden="1">
      <c r="A19" s="94"/>
      <c r="B19" s="94"/>
      <c r="C19" s="124"/>
      <c r="D19" s="4"/>
      <c r="E19" s="115"/>
      <c r="F19" s="161"/>
      <c r="G19" s="115"/>
      <c r="H19" s="63"/>
      <c r="I19" s="7"/>
      <c r="J19" s="62"/>
      <c r="K19" s="7"/>
      <c r="L19" s="10"/>
      <c r="M19" s="6"/>
      <c r="N19" s="46"/>
      <c r="O19" s="43"/>
      <c r="P19" s="1"/>
      <c r="Q19" s="1"/>
      <c r="S19" s="93"/>
      <c r="V19" s="221"/>
      <c r="W19" s="221"/>
      <c r="X19" s="221"/>
      <c r="Y19" s="221"/>
      <c r="Z19" s="221"/>
      <c r="AA19" s="221"/>
      <c r="AB19" s="221"/>
      <c r="AC19" s="221"/>
      <c r="AD19" s="113"/>
      <c r="AE19" s="113" t="str">
        <f t="shared" si="11"/>
        <v/>
      </c>
    </row>
    <row r="20" spans="1:33">
      <c r="A20" s="94">
        <f t="shared" si="13"/>
        <v>1</v>
      </c>
      <c r="B20" s="94"/>
      <c r="C20" s="122" t="str">
        <f>VLOOKUP($D$4,Hinweise!$G$14:$N$20,7,FALSE)</f>
        <v>Chemie</v>
      </c>
      <c r="D20" s="4"/>
      <c r="E20" s="115"/>
      <c r="F20" s="3"/>
      <c r="G20" s="115"/>
      <c r="H20" s="33">
        <v>4</v>
      </c>
      <c r="I20" s="7"/>
      <c r="J20" s="8">
        <v>4</v>
      </c>
      <c r="K20" s="7"/>
      <c r="L20" s="10"/>
      <c r="M20" s="6"/>
      <c r="N20" s="46"/>
      <c r="O20" s="43">
        <f t="shared" si="10"/>
        <v>4</v>
      </c>
      <c r="P20" s="1"/>
      <c r="Q20" s="1">
        <f t="shared" si="0"/>
        <v>4</v>
      </c>
      <c r="R20" s="94">
        <f t="shared" si="5"/>
        <v>0</v>
      </c>
      <c r="S20" s="93">
        <f>IF(AVERAGE(V20:AB20)&lt;1,0,AVERAGE(V20:AB20))</f>
        <v>4</v>
      </c>
      <c r="T20" s="94">
        <f>IF(AVERAGE(D20:J20)&lt;1,0,AVERAGE(D20:J20))</f>
        <v>4</v>
      </c>
      <c r="V20" s="221" t="str">
        <f t="shared" si="1"/>
        <v/>
      </c>
      <c r="W20" s="221"/>
      <c r="X20" s="221" t="str">
        <f t="shared" si="2"/>
        <v/>
      </c>
      <c r="Y20" s="221"/>
      <c r="Z20" s="221">
        <f t="shared" si="3"/>
        <v>4</v>
      </c>
      <c r="AA20" s="221"/>
      <c r="AB20" s="221">
        <f t="shared" si="4"/>
        <v>4</v>
      </c>
      <c r="AC20" s="221"/>
      <c r="AD20" s="113">
        <f t="shared" si="7"/>
        <v>2</v>
      </c>
      <c r="AE20" s="113" t="str">
        <f t="shared" si="11"/>
        <v/>
      </c>
    </row>
    <row r="21" spans="1:33">
      <c r="A21" s="94">
        <f t="shared" si="13"/>
        <v>1</v>
      </c>
      <c r="B21" s="94"/>
      <c r="C21" s="122" t="str">
        <f>VLOOKUP($D$4,Hinweise!$G$14:$N$20,8,FALSE)</f>
        <v>Mathe Additum</v>
      </c>
      <c r="D21" s="66"/>
      <c r="E21" s="128"/>
      <c r="F21" s="67"/>
      <c r="G21" s="128"/>
      <c r="H21" s="50">
        <v>4</v>
      </c>
      <c r="I21" s="49"/>
      <c r="J21" s="51">
        <v>4</v>
      </c>
      <c r="K21" s="49"/>
      <c r="L21" s="52"/>
      <c r="M21" s="53"/>
      <c r="N21" s="54"/>
      <c r="O21" s="55">
        <f t="shared" si="10"/>
        <v>4</v>
      </c>
      <c r="P21" s="1"/>
      <c r="Q21" s="1">
        <f t="shared" si="0"/>
        <v>4</v>
      </c>
      <c r="R21" s="94">
        <f t="shared" si="5"/>
        <v>0</v>
      </c>
      <c r="S21" s="93">
        <f t="shared" ref="S21:S23" si="14">IF(AVERAGE(V21:AB21)&lt;1,0,AVERAGE(V21:AB21))</f>
        <v>4</v>
      </c>
      <c r="T21" s="94">
        <f t="shared" ref="T21:T23" si="15">IF(AVERAGE(D21:J21)&lt;1,0,AVERAGE(D21:J21))</f>
        <v>4</v>
      </c>
      <c r="V21" s="221" t="str">
        <f t="shared" si="1"/>
        <v/>
      </c>
      <c r="W21" s="221"/>
      <c r="X21" s="221" t="str">
        <f t="shared" si="2"/>
        <v/>
      </c>
      <c r="Y21" s="221"/>
      <c r="Z21" s="221">
        <f t="shared" si="3"/>
        <v>4</v>
      </c>
      <c r="AA21" s="221"/>
      <c r="AB21" s="221">
        <f t="shared" si="4"/>
        <v>4</v>
      </c>
      <c r="AC21" s="221"/>
      <c r="AD21" s="113">
        <f t="shared" si="7"/>
        <v>2</v>
      </c>
      <c r="AE21" s="113" t="str">
        <f t="shared" si="11"/>
        <v/>
      </c>
    </row>
    <row r="22" spans="1:33">
      <c r="A22" s="94">
        <f>IF(OR(C22="-",VLOOKUP(C22,Hinweise!$C$6:$D$37,2,FALSE)=0),0,1)</f>
        <v>1</v>
      </c>
      <c r="B22" s="94"/>
      <c r="C22" s="37" t="s">
        <v>27</v>
      </c>
      <c r="D22" s="68"/>
      <c r="E22" s="112"/>
      <c r="F22" s="61"/>
      <c r="G22" s="112"/>
      <c r="H22" s="41">
        <v>4</v>
      </c>
      <c r="I22" s="23"/>
      <c r="J22" s="25">
        <v>4</v>
      </c>
      <c r="K22" s="23"/>
      <c r="L22" s="26"/>
      <c r="M22" s="27"/>
      <c r="N22" s="45"/>
      <c r="O22" s="56">
        <f t="shared" si="10"/>
        <v>4</v>
      </c>
      <c r="P22" s="1"/>
      <c r="Q22" s="1">
        <f t="shared" si="0"/>
        <v>4</v>
      </c>
      <c r="R22" s="94">
        <f t="shared" si="5"/>
        <v>0</v>
      </c>
      <c r="S22" s="93">
        <f t="shared" si="14"/>
        <v>4</v>
      </c>
      <c r="T22" s="94">
        <f t="shared" si="15"/>
        <v>4</v>
      </c>
      <c r="V22" s="221" t="str">
        <f t="shared" si="1"/>
        <v/>
      </c>
      <c r="W22" s="221"/>
      <c r="X22" s="221" t="str">
        <f t="shared" si="2"/>
        <v/>
      </c>
      <c r="Y22" s="221"/>
      <c r="Z22" s="221">
        <f t="shared" si="3"/>
        <v>4</v>
      </c>
      <c r="AA22" s="221"/>
      <c r="AB22" s="221">
        <f t="shared" si="4"/>
        <v>4</v>
      </c>
      <c r="AC22" s="221"/>
      <c r="AD22" s="113">
        <f t="shared" si="7"/>
        <v>2</v>
      </c>
      <c r="AE22" s="113" t="str">
        <f t="shared" si="11"/>
        <v/>
      </c>
    </row>
    <row r="23" spans="1:33">
      <c r="A23" s="94">
        <f>IF(OR(C23="-",VLOOKUP(C23,Hinweise!$C$6:$D$37,2,FALSE)=0),0,1)</f>
        <v>0</v>
      </c>
      <c r="B23" s="94"/>
      <c r="C23" s="38" t="s">
        <v>129</v>
      </c>
      <c r="D23" s="4"/>
      <c r="E23" s="115"/>
      <c r="F23" s="3"/>
      <c r="G23" s="115"/>
      <c r="H23" s="33"/>
      <c r="I23" s="7"/>
      <c r="J23" s="8"/>
      <c r="K23" s="7"/>
      <c r="L23" s="10"/>
      <c r="M23" s="6"/>
      <c r="N23" s="46"/>
      <c r="O23" s="43" t="str">
        <f t="shared" si="10"/>
        <v/>
      </c>
      <c r="P23" s="1"/>
      <c r="Q23" s="1" t="str">
        <f t="shared" si="0"/>
        <v/>
      </c>
      <c r="R23" s="94">
        <f t="shared" si="5"/>
        <v>0</v>
      </c>
      <c r="S23" s="93" t="e">
        <f t="shared" si="14"/>
        <v>#DIV/0!</v>
      </c>
      <c r="T23" s="94" t="e">
        <f t="shared" si="15"/>
        <v>#DIV/0!</v>
      </c>
      <c r="V23" s="221" t="str">
        <f t="shared" si="1"/>
        <v/>
      </c>
      <c r="W23" s="221"/>
      <c r="X23" s="221" t="str">
        <f t="shared" si="2"/>
        <v/>
      </c>
      <c r="Y23" s="221"/>
      <c r="Z23" s="221" t="str">
        <f t="shared" si="3"/>
        <v/>
      </c>
      <c r="AA23" s="221"/>
      <c r="AB23" s="221" t="str">
        <f t="shared" si="4"/>
        <v/>
      </c>
      <c r="AC23" s="221"/>
      <c r="AD23" s="113">
        <f t="shared" si="7"/>
        <v>0</v>
      </c>
      <c r="AE23" s="113" t="str">
        <f t="shared" si="11"/>
        <v/>
      </c>
    </row>
    <row r="24" spans="1:33" hidden="1">
      <c r="A24" s="162"/>
      <c r="B24" s="162"/>
      <c r="C24" s="172"/>
      <c r="D24" s="66"/>
      <c r="E24" s="128"/>
      <c r="F24" s="67"/>
      <c r="G24" s="128"/>
      <c r="H24" s="173"/>
      <c r="I24" s="128"/>
      <c r="J24" s="174"/>
      <c r="K24" s="175"/>
      <c r="L24" s="72"/>
      <c r="M24" s="73"/>
      <c r="N24" s="74"/>
      <c r="O24" s="75"/>
      <c r="P24" s="1"/>
      <c r="Q24" s="1"/>
      <c r="R24" s="162"/>
      <c r="S24" s="165"/>
      <c r="T24" s="162"/>
      <c r="U24" s="162"/>
      <c r="V24" s="166"/>
      <c r="W24" s="166"/>
      <c r="X24" s="166"/>
      <c r="Y24" s="166"/>
      <c r="Z24" s="166"/>
      <c r="AA24" s="166"/>
      <c r="AB24" s="166"/>
      <c r="AC24" s="166"/>
      <c r="AD24" s="167"/>
      <c r="AE24" s="113" t="str">
        <f t="shared" si="11"/>
        <v/>
      </c>
      <c r="AF24" s="165"/>
      <c r="AG24" s="165"/>
    </row>
    <row r="25" spans="1:33">
      <c r="A25" s="94">
        <v>1</v>
      </c>
      <c r="B25" s="94"/>
      <c r="C25" s="110" t="s">
        <v>17</v>
      </c>
      <c r="D25" s="84"/>
      <c r="E25" s="85"/>
      <c r="F25" s="84"/>
      <c r="G25" s="85"/>
      <c r="H25" s="248">
        <v>4</v>
      </c>
      <c r="I25" s="248"/>
      <c r="J25" s="248"/>
      <c r="K25" s="248"/>
      <c r="L25" s="86"/>
      <c r="M25" s="87"/>
      <c r="N25" s="88"/>
      <c r="O25" s="89">
        <f>IF(H25="","",H25)</f>
        <v>4</v>
      </c>
      <c r="P25" s="1"/>
      <c r="Q25" s="1">
        <f t="shared" si="0"/>
        <v>4</v>
      </c>
      <c r="S25" s="93"/>
      <c r="T25" s="94" t="str">
        <f t="shared" ref="T25" si="16">IF(A25=0,AVERAGE(D25:J25),"")</f>
        <v/>
      </c>
      <c r="V25" s="1"/>
      <c r="W25" s="1"/>
      <c r="X25" s="1"/>
      <c r="Y25" s="1"/>
      <c r="Z25" s="1"/>
      <c r="AA25" s="1"/>
      <c r="AB25" s="1"/>
      <c r="AC25" s="1"/>
      <c r="AD25" s="129">
        <f>SUM(AD7:AD24)</f>
        <v>20</v>
      </c>
      <c r="AE25" s="113" t="str">
        <f t="shared" si="11"/>
        <v/>
      </c>
    </row>
    <row r="26" spans="1:33" hidden="1">
      <c r="A26" s="162"/>
      <c r="B26" s="162"/>
      <c r="C26" s="176"/>
      <c r="D26" s="77"/>
      <c r="E26" s="76"/>
      <c r="F26" s="79"/>
      <c r="G26" s="76"/>
      <c r="H26" s="77"/>
      <c r="I26" s="78"/>
      <c r="J26" s="79"/>
      <c r="K26" s="78"/>
      <c r="L26" s="80"/>
      <c r="M26" s="81"/>
      <c r="N26" s="82"/>
      <c r="O26" s="83"/>
      <c r="P26" s="1"/>
      <c r="Q26" s="1"/>
      <c r="R26" s="162"/>
      <c r="S26" s="165"/>
      <c r="T26" s="162"/>
      <c r="U26" s="162"/>
      <c r="V26" s="1"/>
      <c r="W26" s="1"/>
      <c r="X26" s="1"/>
      <c r="Y26" s="1"/>
      <c r="Z26" s="1"/>
      <c r="AA26" s="1"/>
      <c r="AB26" s="1"/>
      <c r="AC26" s="1"/>
      <c r="AD26" s="177"/>
      <c r="AE26" s="177"/>
      <c r="AF26" s="165"/>
    </row>
    <row r="27" spans="1:33">
      <c r="C27" s="132" t="s">
        <v>159</v>
      </c>
      <c r="D27" s="231" t="s">
        <v>25</v>
      </c>
      <c r="E27" s="231"/>
      <c r="F27" s="231"/>
      <c r="G27" s="231"/>
      <c r="H27" s="231"/>
      <c r="I27" s="231"/>
      <c r="J27" s="231"/>
      <c r="K27" s="231"/>
    </row>
    <row r="28" spans="1:33">
      <c r="D28" s="232" t="str">
        <f>IF(AE5&gt;2,"Zur Prüfung nicht zugelassen","")</f>
        <v/>
      </c>
      <c r="E28" s="232"/>
      <c r="F28" s="232"/>
      <c r="G28" s="232"/>
      <c r="H28" s="232"/>
      <c r="I28" s="232"/>
      <c r="J28" s="232"/>
      <c r="K28" s="232"/>
    </row>
    <row r="29" spans="1:33">
      <c r="C29" s="133" t="s">
        <v>164</v>
      </c>
      <c r="D29" s="233">
        <f>2*SUM(N8:N14)</f>
        <v>28</v>
      </c>
      <c r="E29" s="234"/>
      <c r="F29" s="233" t="s">
        <v>181</v>
      </c>
      <c r="G29" s="234"/>
      <c r="H29" s="204">
        <f>U46</f>
        <v>4</v>
      </c>
      <c r="J29" s="200"/>
      <c r="K29" s="201"/>
      <c r="L29" s="219" t="s">
        <v>168</v>
      </c>
      <c r="M29" s="219" t="s">
        <v>153</v>
      </c>
      <c r="N29" s="220" t="s">
        <v>169</v>
      </c>
      <c r="R29" s="108" t="s">
        <v>24</v>
      </c>
      <c r="S29" s="108" t="s">
        <v>172</v>
      </c>
      <c r="T29" s="108" t="s">
        <v>173</v>
      </c>
      <c r="U29" s="108" t="s">
        <v>174</v>
      </c>
    </row>
    <row r="30" spans="1:33">
      <c r="C30" s="99" t="s">
        <v>171</v>
      </c>
      <c r="D30" s="233">
        <f>SUM(V7:AC24)</f>
        <v>80</v>
      </c>
      <c r="E30" s="234"/>
      <c r="F30" s="233" t="s">
        <v>157</v>
      </c>
      <c r="G30" s="234"/>
      <c r="H30" s="218">
        <f>S46</f>
        <v>20</v>
      </c>
      <c r="J30" s="137" t="s">
        <v>104</v>
      </c>
      <c r="K30" s="138"/>
      <c r="L30" s="139">
        <f>S30</f>
        <v>0</v>
      </c>
      <c r="M30" s="139">
        <f>T30</f>
        <v>0</v>
      </c>
      <c r="N30" s="140">
        <f>U30</f>
        <v>0</v>
      </c>
      <c r="R30" s="221">
        <v>0</v>
      </c>
      <c r="S30" s="221">
        <f t="shared" ref="S30:S45" si="17">COUNTIF($V$7:$AC$24,R30)</f>
        <v>0</v>
      </c>
      <c r="T30" s="221">
        <f>COUNTIF($Q$7:$Q$26,R30)</f>
        <v>0</v>
      </c>
      <c r="U30" s="221">
        <f t="shared" ref="U30:U45" si="18">COUNTIF($N$8:$N$14,R30)</f>
        <v>0</v>
      </c>
    </row>
    <row r="31" spans="1:33">
      <c r="C31" s="133" t="s">
        <v>22</v>
      </c>
      <c r="D31" s="233">
        <f>H25</f>
        <v>4</v>
      </c>
      <c r="E31" s="234"/>
      <c r="F31" s="134"/>
      <c r="G31" s="135"/>
      <c r="H31" s="136"/>
      <c r="J31" s="137" t="s">
        <v>105</v>
      </c>
      <c r="K31" s="138"/>
      <c r="L31" s="139">
        <f t="shared" ref="L31:N35" si="19">S31</f>
        <v>0</v>
      </c>
      <c r="M31" s="139">
        <f t="shared" si="19"/>
        <v>0</v>
      </c>
      <c r="N31" s="140">
        <f t="shared" si="19"/>
        <v>0</v>
      </c>
      <c r="R31" s="221">
        <v>1</v>
      </c>
      <c r="S31" s="221">
        <f t="shared" si="17"/>
        <v>0</v>
      </c>
      <c r="T31" s="221">
        <f t="shared" ref="T31:T45" si="20">COUNTIF($Q$7:$Q$26,R31)</f>
        <v>0</v>
      </c>
      <c r="U31" s="221">
        <f t="shared" si="18"/>
        <v>0</v>
      </c>
    </row>
    <row r="32" spans="1:33">
      <c r="C32" s="178"/>
      <c r="D32" s="234"/>
      <c r="E32" s="234"/>
      <c r="F32" s="135"/>
      <c r="G32" s="135"/>
      <c r="H32" s="136"/>
      <c r="J32" s="137" t="s">
        <v>106</v>
      </c>
      <c r="K32" s="138"/>
      <c r="L32" s="139">
        <f t="shared" si="19"/>
        <v>0</v>
      </c>
      <c r="M32" s="139">
        <f t="shared" si="19"/>
        <v>0</v>
      </c>
      <c r="N32" s="140">
        <f t="shared" si="19"/>
        <v>0</v>
      </c>
      <c r="R32" s="221">
        <v>2</v>
      </c>
      <c r="S32" s="221">
        <f t="shared" si="17"/>
        <v>0</v>
      </c>
      <c r="T32" s="221">
        <f t="shared" si="20"/>
        <v>0</v>
      </c>
      <c r="U32" s="221">
        <f t="shared" si="18"/>
        <v>0</v>
      </c>
    </row>
    <row r="33" spans="3:21">
      <c r="C33" s="141" t="s">
        <v>158</v>
      </c>
      <c r="D33" s="228">
        <f>SUM(D29:D32)</f>
        <v>112</v>
      </c>
      <c r="E33" s="229"/>
      <c r="F33" s="134"/>
      <c r="G33" s="135"/>
      <c r="H33" s="136"/>
      <c r="J33" s="137" t="s">
        <v>107</v>
      </c>
      <c r="K33" s="138"/>
      <c r="L33" s="139">
        <f t="shared" si="19"/>
        <v>0</v>
      </c>
      <c r="M33" s="139">
        <f t="shared" si="19"/>
        <v>0</v>
      </c>
      <c r="N33" s="140">
        <f t="shared" si="19"/>
        <v>2</v>
      </c>
      <c r="R33" s="221">
        <v>3</v>
      </c>
      <c r="S33" s="221">
        <f t="shared" si="17"/>
        <v>0</v>
      </c>
      <c r="T33" s="221">
        <f t="shared" si="20"/>
        <v>0</v>
      </c>
      <c r="U33" s="221">
        <f t="shared" si="18"/>
        <v>2</v>
      </c>
    </row>
    <row r="34" spans="3:21">
      <c r="C34" s="141" t="s">
        <v>23</v>
      </c>
      <c r="D34" s="235" t="str">
        <f>IF(D35="bestanden",INT(F34*10)/10,"")</f>
        <v/>
      </c>
      <c r="E34" s="236"/>
      <c r="F34" s="217">
        <f>17/3-5*D33/390</f>
        <v>4.2307692307692308</v>
      </c>
      <c r="G34" s="134"/>
      <c r="H34" s="136"/>
      <c r="J34" s="143" t="s">
        <v>149</v>
      </c>
      <c r="K34" s="144"/>
      <c r="L34" s="145">
        <f t="shared" si="19"/>
        <v>20</v>
      </c>
      <c r="M34" s="145">
        <f t="shared" si="19"/>
        <v>11</v>
      </c>
      <c r="N34" s="146">
        <f t="shared" si="19"/>
        <v>2</v>
      </c>
      <c r="R34" s="221">
        <v>4</v>
      </c>
      <c r="S34" s="221">
        <f t="shared" si="17"/>
        <v>20</v>
      </c>
      <c r="T34" s="221">
        <f t="shared" si="20"/>
        <v>11</v>
      </c>
      <c r="U34" s="221">
        <f t="shared" si="18"/>
        <v>2</v>
      </c>
    </row>
    <row r="35" spans="3:21">
      <c r="C35" s="141" t="s">
        <v>108</v>
      </c>
      <c r="D35" s="237" t="str">
        <f>IF(AND(E41=0,H30=17,U46=4),"bestanden","nicht bestanden")</f>
        <v>nicht bestanden</v>
      </c>
      <c r="E35" s="238"/>
      <c r="F35" s="228"/>
      <c r="G35" s="135"/>
      <c r="H35" s="136"/>
      <c r="J35" s="143" t="s">
        <v>150</v>
      </c>
      <c r="K35" s="144"/>
      <c r="L35" s="145">
        <f t="shared" si="19"/>
        <v>0</v>
      </c>
      <c r="M35" s="145">
        <f t="shared" si="19"/>
        <v>0</v>
      </c>
      <c r="N35" s="146">
        <f t="shared" si="19"/>
        <v>0</v>
      </c>
      <c r="R35" s="221">
        <v>5</v>
      </c>
      <c r="S35" s="221">
        <f t="shared" si="17"/>
        <v>0</v>
      </c>
      <c r="T35" s="221">
        <f t="shared" si="20"/>
        <v>0</v>
      </c>
      <c r="U35" s="221">
        <f t="shared" si="18"/>
        <v>0</v>
      </c>
    </row>
    <row r="36" spans="3:21">
      <c r="J36" s="228" t="s">
        <v>151</v>
      </c>
      <c r="K36" s="229"/>
      <c r="L36" s="216">
        <f>SUM(L30:L33)</f>
        <v>0</v>
      </c>
      <c r="M36" s="216">
        <f>SUM(M30:M33)</f>
        <v>0</v>
      </c>
      <c r="N36" s="218">
        <f>SUM(N30:N33)</f>
        <v>2</v>
      </c>
      <c r="R36" s="221">
        <v>6</v>
      </c>
      <c r="S36" s="221">
        <f t="shared" si="17"/>
        <v>0</v>
      </c>
      <c r="T36" s="221">
        <f t="shared" si="20"/>
        <v>0</v>
      </c>
      <c r="U36" s="221">
        <f t="shared" si="18"/>
        <v>0</v>
      </c>
    </row>
    <row r="37" spans="3:21">
      <c r="C37" s="149" t="s">
        <v>176</v>
      </c>
      <c r="D37" s="222"/>
      <c r="E37" s="223"/>
      <c r="F37" s="224"/>
      <c r="J37" s="202" t="s">
        <v>152</v>
      </c>
      <c r="K37" s="203"/>
      <c r="L37" s="199">
        <f>2*L30+L31+L32+L33</f>
        <v>0</v>
      </c>
      <c r="M37" s="199">
        <f>2*M30+M31+M32+M33</f>
        <v>0</v>
      </c>
      <c r="N37" s="89">
        <f>2*N30+N31+N32+N33</f>
        <v>2</v>
      </c>
      <c r="R37" s="221">
        <v>7</v>
      </c>
      <c r="S37" s="221">
        <f t="shared" si="17"/>
        <v>0</v>
      </c>
      <c r="T37" s="221">
        <f t="shared" si="20"/>
        <v>0</v>
      </c>
      <c r="U37" s="221">
        <f t="shared" si="18"/>
        <v>0</v>
      </c>
    </row>
    <row r="38" spans="3:21">
      <c r="C38" s="150" t="s">
        <v>170</v>
      </c>
      <c r="D38" s="225" t="str">
        <f>IF(AND(M37&lt;3,N37&lt;3,U46=4),"erfüllt","nicht erfüllt")</f>
        <v>erfüllt</v>
      </c>
      <c r="E38" s="225"/>
      <c r="F38" s="225"/>
      <c r="J38" s="151"/>
      <c r="K38" s="151"/>
      <c r="L38" s="152"/>
      <c r="R38" s="221">
        <v>8</v>
      </c>
      <c r="S38" s="221">
        <f t="shared" si="17"/>
        <v>0</v>
      </c>
      <c r="T38" s="221">
        <f t="shared" si="20"/>
        <v>0</v>
      </c>
      <c r="U38" s="221">
        <f t="shared" si="18"/>
        <v>0</v>
      </c>
    </row>
    <row r="39" spans="3:21">
      <c r="C39" s="153" t="s">
        <v>179</v>
      </c>
      <c r="D39" s="226" t="str">
        <f>IF(M37&lt;&gt;1,"",IF(D33&lt;130,"nicht erfüllt","erfüllt"))</f>
        <v/>
      </c>
      <c r="E39" s="226"/>
      <c r="F39" s="226"/>
      <c r="J39" s="155"/>
      <c r="K39" s="155"/>
      <c r="R39" s="221">
        <v>9</v>
      </c>
      <c r="S39" s="221">
        <f t="shared" si="17"/>
        <v>0</v>
      </c>
      <c r="T39" s="221">
        <f t="shared" si="20"/>
        <v>0</v>
      </c>
      <c r="U39" s="221">
        <f t="shared" si="18"/>
        <v>0</v>
      </c>
    </row>
    <row r="40" spans="3:21">
      <c r="C40" s="153" t="s">
        <v>180</v>
      </c>
      <c r="D40" s="226" t="str">
        <f>IF(M37&lt;&gt;2,"",IF(D33&lt;156,"nicht erfüllt","erfüllt"))</f>
        <v/>
      </c>
      <c r="E40" s="226"/>
      <c r="F40" s="226"/>
      <c r="J40" s="155"/>
      <c r="K40" s="155"/>
      <c r="R40" s="221">
        <v>10</v>
      </c>
      <c r="S40" s="221">
        <f t="shared" si="17"/>
        <v>0</v>
      </c>
      <c r="T40" s="221">
        <f t="shared" si="20"/>
        <v>0</v>
      </c>
      <c r="U40" s="221">
        <f t="shared" si="18"/>
        <v>0</v>
      </c>
    </row>
    <row r="41" spans="3:21">
      <c r="E41" s="156">
        <f>COUNTIF(D38:F40,"nicht erfüllt")</f>
        <v>0</v>
      </c>
      <c r="J41" s="157"/>
      <c r="K41" s="157"/>
      <c r="L41" s="152"/>
      <c r="R41" s="221">
        <v>11</v>
      </c>
      <c r="S41" s="221">
        <f t="shared" si="17"/>
        <v>0</v>
      </c>
      <c r="T41" s="221">
        <f t="shared" si="20"/>
        <v>0</v>
      </c>
      <c r="U41" s="221">
        <f t="shared" si="18"/>
        <v>0</v>
      </c>
    </row>
    <row r="42" spans="3:21">
      <c r="C42" s="227" t="s">
        <v>160</v>
      </c>
      <c r="D42" s="227"/>
      <c r="E42" s="227"/>
      <c r="F42" s="227"/>
      <c r="G42" s="227"/>
      <c r="H42" s="227"/>
      <c r="I42" s="227"/>
      <c r="J42" s="227"/>
      <c r="K42" s="227"/>
      <c r="L42" s="227"/>
      <c r="M42" s="227"/>
      <c r="N42" s="227"/>
      <c r="O42" s="227"/>
      <c r="R42" s="221">
        <v>12</v>
      </c>
      <c r="S42" s="221">
        <f t="shared" si="17"/>
        <v>0</v>
      </c>
      <c r="T42" s="221">
        <f t="shared" si="20"/>
        <v>0</v>
      </c>
      <c r="U42" s="221">
        <f t="shared" si="18"/>
        <v>0</v>
      </c>
    </row>
    <row r="43" spans="3:21">
      <c r="J43" s="157"/>
      <c r="K43" s="157"/>
      <c r="L43" s="152"/>
      <c r="R43" s="221">
        <v>13</v>
      </c>
      <c r="S43" s="221">
        <f t="shared" si="17"/>
        <v>0</v>
      </c>
      <c r="T43" s="221">
        <f t="shared" si="20"/>
        <v>0</v>
      </c>
      <c r="U43" s="221">
        <f t="shared" si="18"/>
        <v>0</v>
      </c>
    </row>
    <row r="44" spans="3:21">
      <c r="C44" s="194" t="s">
        <v>186</v>
      </c>
      <c r="J44" s="157"/>
      <c r="K44" s="157"/>
      <c r="L44" s="152"/>
      <c r="R44" s="221">
        <v>14</v>
      </c>
      <c r="S44" s="221">
        <f t="shared" si="17"/>
        <v>0</v>
      </c>
      <c r="T44" s="221">
        <f t="shared" si="20"/>
        <v>0</v>
      </c>
      <c r="U44" s="221">
        <f t="shared" si="18"/>
        <v>0</v>
      </c>
    </row>
    <row r="45" spans="3:21">
      <c r="C45" s="194" t="s">
        <v>165</v>
      </c>
      <c r="J45" s="157"/>
      <c r="K45" s="157"/>
      <c r="L45" s="152"/>
      <c r="R45" s="221">
        <v>15</v>
      </c>
      <c r="S45" s="221">
        <f t="shared" si="17"/>
        <v>0</v>
      </c>
      <c r="T45" s="221">
        <f t="shared" si="20"/>
        <v>0</v>
      </c>
      <c r="U45" s="221">
        <f t="shared" si="18"/>
        <v>0</v>
      </c>
    </row>
    <row r="46" spans="3:21">
      <c r="J46" s="155"/>
      <c r="K46" s="155"/>
      <c r="R46" s="221"/>
      <c r="S46" s="158">
        <f>SUM(S30:S45)</f>
        <v>20</v>
      </c>
      <c r="T46" s="158">
        <f>SUM(T30:T45)</f>
        <v>11</v>
      </c>
      <c r="U46" s="158">
        <f>SUM(U30:U45)</f>
        <v>4</v>
      </c>
    </row>
  </sheetData>
  <sheetProtection password="CD32" sheet="1" formatRows="0" selectLockedCells="1"/>
  <mergeCells count="24">
    <mergeCell ref="D37:F37"/>
    <mergeCell ref="D38:F38"/>
    <mergeCell ref="D39:F39"/>
    <mergeCell ref="D40:F40"/>
    <mergeCell ref="C42:O42"/>
    <mergeCell ref="J36:K36"/>
    <mergeCell ref="H25:K25"/>
    <mergeCell ref="D27:K27"/>
    <mergeCell ref="D28:K28"/>
    <mergeCell ref="D29:E29"/>
    <mergeCell ref="F29:G29"/>
    <mergeCell ref="D30:E30"/>
    <mergeCell ref="F30:G30"/>
    <mergeCell ref="D31:E31"/>
    <mergeCell ref="D32:E32"/>
    <mergeCell ref="D33:E33"/>
    <mergeCell ref="D34:E34"/>
    <mergeCell ref="D35:F35"/>
    <mergeCell ref="D5:K5"/>
    <mergeCell ref="C2:D2"/>
    <mergeCell ref="I2:O2"/>
    <mergeCell ref="J3:N3"/>
    <mergeCell ref="D4:F4"/>
    <mergeCell ref="H4:O4"/>
  </mergeCells>
  <conditionalFormatting sqref="T2:T4">
    <cfRule type="cellIs" dxfId="52" priority="53" operator="greaterThan">
      <formula>1</formula>
    </cfRule>
  </conditionalFormatting>
  <conditionalFormatting sqref="H30">
    <cfRule type="cellIs" dxfId="51" priority="51" operator="notEqual">
      <formula>17</formula>
    </cfRule>
    <cfRule type="cellIs" dxfId="50" priority="52" operator="equal">
      <formula>17</formula>
    </cfRule>
  </conditionalFormatting>
  <conditionalFormatting sqref="D27">
    <cfRule type="expression" dxfId="49" priority="50">
      <formula>R5&gt;1</formula>
    </cfRule>
  </conditionalFormatting>
  <conditionalFormatting sqref="D35:F35">
    <cfRule type="containsText" dxfId="48" priority="48" operator="containsText" text="nicht bestanden">
      <formula>NOT(ISERROR(SEARCH("nicht bestanden",D35)))</formula>
    </cfRule>
    <cfRule type="containsText" dxfId="47" priority="49" operator="containsText" text="bestanden">
      <formula>NOT(ISERROR(SEARCH("bestanden",D35)))</formula>
    </cfRule>
  </conditionalFormatting>
  <conditionalFormatting sqref="D18">
    <cfRule type="expression" dxfId="46" priority="46">
      <formula>"G5=0"</formula>
    </cfRule>
    <cfRule type="expression" dxfId="45" priority="47">
      <formula>E18=1</formula>
    </cfRule>
  </conditionalFormatting>
  <conditionalFormatting sqref="F16">
    <cfRule type="expression" dxfId="44" priority="44">
      <formula>"G5=0"</formula>
    </cfRule>
    <cfRule type="expression" dxfId="43" priority="45">
      <formula>G16=1</formula>
    </cfRule>
  </conditionalFormatting>
  <conditionalFormatting sqref="H7">
    <cfRule type="expression" dxfId="42" priority="42">
      <formula>"&lt;&gt;istzahl(Z7)"</formula>
    </cfRule>
    <cfRule type="expression" dxfId="41" priority="43">
      <formula>ISNUMBER(Z7)</formula>
    </cfRule>
  </conditionalFormatting>
  <conditionalFormatting sqref="D11">
    <cfRule type="expression" dxfId="40" priority="40">
      <formula>"&lt;&gt;istzahl(Z7)"</formula>
    </cfRule>
    <cfRule type="expression" dxfId="39" priority="41">
      <formula>ISNUMBER(V11)</formula>
    </cfRule>
  </conditionalFormatting>
  <conditionalFormatting sqref="D17">
    <cfRule type="expression" dxfId="38" priority="38">
      <formula>"&lt;&gt;istzahl(Z7)"</formula>
    </cfRule>
    <cfRule type="expression" dxfId="37" priority="39">
      <formula>ISNUMBER(V17)</formula>
    </cfRule>
  </conditionalFormatting>
  <conditionalFormatting sqref="F8:F11">
    <cfRule type="expression" dxfId="36" priority="36">
      <formula>"&lt;&gt;istzahl(Z7)"</formula>
    </cfRule>
    <cfRule type="expression" dxfId="35" priority="37">
      <formula>ISNUMBER(X8)</formula>
    </cfRule>
  </conditionalFormatting>
  <conditionalFormatting sqref="F14:F15">
    <cfRule type="expression" dxfId="34" priority="34">
      <formula>"&lt;&gt;istzahl(Z7)"</formula>
    </cfRule>
    <cfRule type="expression" dxfId="33" priority="35">
      <formula>ISNUMBER(X14)</formula>
    </cfRule>
  </conditionalFormatting>
  <conditionalFormatting sqref="F17:F19">
    <cfRule type="expression" dxfId="32" priority="32">
      <formula>"&lt;&gt;istzahl(Z7)"</formula>
    </cfRule>
    <cfRule type="expression" dxfId="31" priority="33">
      <formula>ISNUMBER(X17)</formula>
    </cfRule>
  </conditionalFormatting>
  <conditionalFormatting sqref="H8:H10">
    <cfRule type="expression" dxfId="30" priority="30">
      <formula>"&lt;&gt;istzahl(Z7)"</formula>
    </cfRule>
    <cfRule type="expression" dxfId="29" priority="31">
      <formula>ISNUMBER(Z8)</formula>
    </cfRule>
  </conditionalFormatting>
  <conditionalFormatting sqref="H12:H13">
    <cfRule type="expression" dxfId="28" priority="28">
      <formula>"&lt;&gt;istzahl(Z7)"</formula>
    </cfRule>
    <cfRule type="expression" dxfId="27" priority="29">
      <formula>ISNUMBER(Z12)</formula>
    </cfRule>
  </conditionalFormatting>
  <conditionalFormatting sqref="H14:H16">
    <cfRule type="expression" dxfId="26" priority="26">
      <formula>"&lt;&gt;istzahl(Z7)"</formula>
    </cfRule>
    <cfRule type="expression" dxfId="25" priority="27">
      <formula>ISNUMBER(Z14)</formula>
    </cfRule>
  </conditionalFormatting>
  <conditionalFormatting sqref="H18:H24">
    <cfRule type="expression" dxfId="24" priority="24">
      <formula>"&lt;&gt;istzahl(Z7)"</formula>
    </cfRule>
    <cfRule type="expression" dxfId="23" priority="25">
      <formula>ISNUMBER(Z18)</formula>
    </cfRule>
  </conditionalFormatting>
  <conditionalFormatting sqref="J7">
    <cfRule type="expression" dxfId="22" priority="22">
      <formula>"&lt;&gt;istzahl(Z7)"</formula>
    </cfRule>
    <cfRule type="expression" dxfId="21" priority="23">
      <formula>ISNUMBER(AB7)</formula>
    </cfRule>
  </conditionalFormatting>
  <conditionalFormatting sqref="J8:J10">
    <cfRule type="expression" dxfId="20" priority="20">
      <formula>"&lt;&gt;istzahl(Z7)"</formula>
    </cfRule>
    <cfRule type="expression" dxfId="19" priority="21">
      <formula>ISNUMBER(AB8)</formula>
    </cfRule>
  </conditionalFormatting>
  <conditionalFormatting sqref="J12:J13">
    <cfRule type="expression" dxfId="18" priority="18">
      <formula>"&lt;&gt;istzahl(Z7)"</formula>
    </cfRule>
    <cfRule type="expression" dxfId="17" priority="19">
      <formula>ISNUMBER(AB12)</formula>
    </cfRule>
  </conditionalFormatting>
  <conditionalFormatting sqref="J14:J16">
    <cfRule type="expression" dxfId="16" priority="16">
      <formula>"&lt;&gt;istzahl(Z7)"</formula>
    </cfRule>
    <cfRule type="expression" dxfId="15" priority="17">
      <formula>ISNUMBER(AB14)</formula>
    </cfRule>
  </conditionalFormatting>
  <conditionalFormatting sqref="J18:J24">
    <cfRule type="expression" dxfId="14" priority="14">
      <formula>"&lt;&gt;istzahl(Z7)"</formula>
    </cfRule>
    <cfRule type="expression" dxfId="13" priority="15">
      <formula>ISNUMBER(AB18)</formula>
    </cfRule>
  </conditionalFormatting>
  <conditionalFormatting sqref="L8">
    <cfRule type="expression" dxfId="12" priority="13">
      <formula>ISNUMBER(L8)</formula>
    </cfRule>
  </conditionalFormatting>
  <conditionalFormatting sqref="L9:L10">
    <cfRule type="expression" dxfId="11" priority="12">
      <formula>ISNUMBER(L9)</formula>
    </cfRule>
  </conditionalFormatting>
  <conditionalFormatting sqref="M8:M10">
    <cfRule type="expression" dxfId="10" priority="11">
      <formula>ISNUMBER(M8)</formula>
    </cfRule>
  </conditionalFormatting>
  <conditionalFormatting sqref="L14">
    <cfRule type="expression" dxfId="9" priority="10">
      <formula>ISNUMBER(L14)</formula>
    </cfRule>
  </conditionalFormatting>
  <conditionalFormatting sqref="M14">
    <cfRule type="expression" dxfId="8" priority="9">
      <formula>ISNUMBER(M14)</formula>
    </cfRule>
  </conditionalFormatting>
  <conditionalFormatting sqref="D26">
    <cfRule type="expression" dxfId="7" priority="8">
      <formula>ISNUMBER(D26)</formula>
    </cfRule>
  </conditionalFormatting>
  <conditionalFormatting sqref="F26">
    <cfRule type="expression" dxfId="6" priority="7">
      <formula>ISNUMBER(F26)</formula>
    </cfRule>
  </conditionalFormatting>
  <conditionalFormatting sqref="H25:K25">
    <cfRule type="expression" dxfId="5" priority="6">
      <formula>ISNUMBER(H25)</formula>
    </cfRule>
  </conditionalFormatting>
  <conditionalFormatting sqref="H29">
    <cfRule type="expression" dxfId="4" priority="4">
      <formula>$H$29&lt;&gt;4</formula>
    </cfRule>
    <cfRule type="expression" dxfId="3" priority="5">
      <formula>$H$29=4</formula>
    </cfRule>
  </conditionalFormatting>
  <conditionalFormatting sqref="O22">
    <cfRule type="expression" dxfId="2" priority="3">
      <formula>$A$22=0</formula>
    </cfRule>
  </conditionalFormatting>
  <conditionalFormatting sqref="O23">
    <cfRule type="expression" dxfId="1" priority="2">
      <formula>$A$23=0</formula>
    </cfRule>
  </conditionalFormatting>
  <conditionalFormatting sqref="D28:K28">
    <cfRule type="containsText" dxfId="0" priority="1" operator="containsText" text="Zur Prüfung nicht zugelassen">
      <formula>NOT(ISERROR(SEARCH("Zur Prüfung nicht zugelassen",D28)))</formula>
    </cfRule>
  </conditionalFormatting>
  <dataValidations count="2">
    <dataValidation type="whole" allowBlank="1" showInputMessage="1" showErrorMessage="1" sqref="J7:J10 F26 L14:M14 D11 F14:F16 D18 H19:H25 F18:F20 D26 F8:F11 L8:M10 H7:H10 H12:H16 J12:J16 J19:J24">
      <formula1>0</formula1>
      <formula2>15</formula2>
    </dataValidation>
    <dataValidation type="whole" allowBlank="1" showInputMessage="1" showErrorMessage="1" sqref="K26">
      <formula1>0</formula1>
      <formula2>1</formula2>
    </dataValidation>
  </dataValidations>
  <pageMargins left="0.70866141732283472" right="0.70866141732283472" top="1.3779527559055118" bottom="0.78740157480314965" header="0.31496062992125984" footer="0.31496062992125984"/>
  <pageSetup paperSize="9" scale="97" orientation="portrait" r:id="rId1"/>
  <headerFooter>
    <oddHeader>&amp;L&amp;G&amp;R&amp;G</oddHeader>
  </headerFooter>
  <legacy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Hinweise!$C$6:$C$37</xm:f>
          </x14:formula1>
          <xm:sqref>C22:C23</xm:sqref>
        </x14:dataValidation>
        <x14:dataValidation type="list" allowBlank="1" showInputMessage="1" showErrorMessage="1">
          <x14:formula1>
            <xm:f>Hinweise!$C$5:$C$37</xm:f>
          </x14:formula1>
          <xm:sqref>C24</xm:sqref>
        </x14:dataValidation>
        <x14:dataValidation type="list" allowBlank="1" showInputMessage="1" showErrorMessage="1">
          <x14:formula1>
            <xm:f>Hinweise!$K$18:$K$19</xm:f>
          </x14:formula1>
          <xm:sqref>I7:I24 E7:E24 G7:G24 K7:K24</xm:sqref>
        </x14:dataValidation>
        <x14:dataValidation type="list" allowBlank="1" showInputMessage="1" showErrorMessage="1">
          <x14:formula1>
            <xm:f>Hinweise!$G$4:$G$10</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Hinweise</vt:lpstr>
      <vt:lpstr>FOBOSO §35</vt:lpstr>
      <vt:lpstr>FOBOSO Anlagen</vt:lpstr>
      <vt:lpstr>FOS 12</vt:lpstr>
      <vt:lpstr>BOS 12=FOS 12 Wiederholer</vt:lpstr>
      <vt:lpstr>Demo FOS 12</vt:lpstr>
      <vt:lpstr>Demo FOS 12 (2)</vt:lpstr>
      <vt:lpstr>Demo BOS 12=FOS 12 Wiederholer</vt:lpstr>
      <vt:lpstr>'BOS 12=FOS 12 Wiederholer'!Druckbereich</vt:lpstr>
      <vt:lpstr>'Demo BOS 12=FOS 12 Wiederholer'!Druckbereich</vt:lpstr>
      <vt:lpstr>'Demo FOS 12'!Druckbereich</vt:lpstr>
      <vt:lpstr>'Demo FOS 12 (2)'!Druckbereich</vt:lpstr>
      <vt:lpstr>'FOS 12'!Druckbereich</vt:lpstr>
    </vt:vector>
  </TitlesOfParts>
  <Company>Maximilian-Kolbe-Schule Neumarkt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Benutzer</dc:creator>
  <cp:lastModifiedBy>Niklas Ströber</cp:lastModifiedBy>
  <cp:lastPrinted>2019-02-08T10:57:55Z</cp:lastPrinted>
  <dcterms:created xsi:type="dcterms:W3CDTF">2018-10-17T09:00:43Z</dcterms:created>
  <dcterms:modified xsi:type="dcterms:W3CDTF">2019-02-26T14:35:00Z</dcterms:modified>
</cp:coreProperties>
</file>